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N26" i="15" l="1"/>
  <c r="B29" i="17"/>
  <c r="B17" i="17"/>
  <c r="B9" i="17"/>
  <c r="H20" i="15"/>
  <c r="H13" i="15"/>
  <c r="L17" i="1"/>
  <c r="H72" i="1"/>
  <c r="G72" i="1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L18" i="1"/>
  <c r="H73" i="1"/>
  <c r="H65" i="1"/>
  <c r="F74" i="1"/>
  <c r="L53" i="15"/>
  <c r="L51" i="15"/>
  <c r="H74" i="1"/>
  <c r="F53" i="1"/>
  <c r="H53" i="1"/>
  <c r="H76" i="15"/>
  <c r="G76" i="15"/>
  <c r="G84" i="15"/>
  <c r="A99" i="1"/>
  <c r="A98" i="1"/>
  <c r="A97" i="1"/>
  <c r="A96" i="1"/>
  <c r="A95" i="1"/>
  <c r="A94" i="1"/>
  <c r="A93" i="1"/>
  <c r="N47" i="15"/>
  <c r="F68" i="1"/>
  <c r="H86" i="15"/>
  <c r="H29" i="15"/>
  <c r="G47" i="1"/>
  <c r="H66" i="1"/>
  <c r="A3" i="15"/>
  <c r="N49" i="15"/>
  <c r="N51" i="15"/>
  <c r="N53" i="15"/>
  <c r="N55" i="15"/>
  <c r="N57" i="15"/>
  <c r="N59" i="15"/>
  <c r="N61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<sst xmlns="http://schemas.openxmlformats.org/spreadsheetml/2006/main" count="367" uniqueCount="274">
  <si>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</si>
  <si>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</si>
  <si>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</si>
  <si>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</si>
  <si>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</si>
  <si>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</si>
  <si>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</si>
  <si>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</si>
  <si>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</si>
  <si>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</si>
  <si>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</si>
  <si>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</si>
  <si>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</si>
  <si>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</si>
  <si>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</si>
  <si>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</si>
  <si>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</si>
  <si>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</si>
  <si>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</si>
  <si>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</si>
  <si>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</si>
  <si>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</si>
  <si>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</si>
  <si>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</si>
  <si>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</si>
  <si>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</si>
  <si>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</si>
  <si>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</si>
  <si>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</si>
  <si>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</si>
  <si>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</si>
  <si>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</si>
  <si>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</si>
  <si>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</si>
  <si>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</si>
  <si>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</si>
  <si>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</si>
  <si>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</si>
  <si>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</si>
  <si>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</si>
  <si>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</si>
  <si>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</si>
  <si>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</si>
  <si>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</si>
  <si>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</si>
  <si>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</si>
  <si>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</si>
  <si>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</si>
  <si>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</si>
  <si>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</si>
  <si>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</si>
  <si>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</si>
  <si>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</si>
  <si>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</si>
  <si>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</si>
  <si>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</si>
  <si>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</si>
  <si>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</si>
  <si>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</si>
  <si>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</si>
  <si>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</si>
  <si>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</si>
  <si>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</si>
  <si>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</si>
  <si>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</si>
  <si>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</si>
  <si>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</si>
  <si>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</si>
  <si>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</si>
  <si>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</si>
  <si>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</si>
  <si>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</si>
  <si>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</si>
  <si>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</si>
  <si>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</si>
  <si>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</si>
  <si>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</si>
  <si>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</si>
  <si>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</si>
  <si>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</si>
  <si>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</si>
  <si>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</si>
  <si>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</si>
  <si>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</si>
  <si>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</si>
  <si>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</si>
  <si>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</si>
  <si>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</si>
  <si>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</si>
  <si>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</si>
  <si>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</si>
  <si>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</si>
  <si>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</si>
  <si>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</si>
  <si>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</si>
  <si>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</si>
  <si>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</si>
  <si>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</si>
  <si>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</si>
  <si>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</si>
  <si>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</si>
  <si>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</si>
  <si>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</si>
  <si>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</si>
  <si>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</si>
  <si>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</si>
  <si>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</si>
  <si>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</si>
  <si>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</si>
  <si>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</si>
  <si>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</si>
  <si>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</si>
  <si>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</si>
  <si>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</si>
  <si>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</si>
  <si>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</si>
  <si>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</si>
  <si>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</si>
  <si>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</si>
  <si>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</si>
  <si>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</si>
  <si>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</si>
  <si>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</si>
  <si>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</si>
  <si>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</si>
  <si>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</si>
  <si>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</si>
  <si>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</si>
  <si>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</si>
  <si>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</si>
  <si>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</si>
  <si>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</si>
  <si>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</si>
  <si>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</si>
  <si>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</si>
  <si>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</si>
  <si>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</si>
  <si>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</si>
  <si>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</si>
  <si>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</si>
  <si>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</si>
  <si>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</si>
  <si>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</si>
  <si>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</si>
  <si>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</si>
  <si>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</si>
  <si>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</si>
  <si>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</si>
  <si>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</si>
  <si>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</si>
  <si>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</si>
  <si>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</si>
  <si>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</si>
  <si>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</si>
  <si>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</si>
  <si>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</si>
  <si>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</si>
  <si>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</si>
  <si>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</si>
  <si>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</si>
  <si>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</si>
  <si>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</si>
  <si>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</si>
  <si>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</si>
  <si>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</si>
  <si>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</si>
  <si>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</si>
  <si>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</si>
  <si>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</si>
  <si>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</si>
  <si>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</si>
  <si>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</si>
  <si>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</si>
  <si>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</si>
  <si>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</si>
  <si>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</si>
  <si>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</si>
  <si>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</si>
  <si>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</si>
  <si>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</si>
  <si>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</si>
  <si>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</si>
  <si>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</si>
  <si>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</si>
  <si>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</si>
  <si>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</si>
  <si>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</si>
  <si>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</si>
  <si>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</si>
  <si>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</si>
  <si>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</si>
  <si>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</si>
  <si>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</si>
  <si>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</si>
  <si>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</si>
  <si>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</si>
  <si>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</si>
  <si>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</si>
  <si>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</si>
  <si>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</si>
  <si>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</si>
  <si>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</si>
  <si>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</si>
  <si>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</si>
  <si>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</si>
  <si>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</si>
  <si>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</si>
  <si>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</si>
  <si>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</si>
  <si>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</si>
  <si>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</si>
  <si>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</si>
  <si>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</si>
  <si>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</si>
  <si>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</si>
  <si>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</si>
  <si>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</si>
  <si>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</si>
  <si>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</si>
  <si>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</si>
  <si>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</si>
  <si>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</si>
  <si>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</si>
  <si>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</si>
  <si>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</si>
  <si>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</si>
  <si>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</si>
  <si>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</si>
  <si>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</si>
  <si>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</si>
  <si>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</si>
  <si>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</si>
  <si>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</si>
  <si>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</si>
  <si>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</si>
  <si>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</si>
  <si>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</si>
  <si>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</si>
  <si>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</si>
  <si>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</si>
  <si>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</si>
  <si>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</si>
  <si>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</si>
  <si>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</si>
  <si>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</si>
  <si>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</si>
  <si>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</si>
  <si>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</si>
  <si>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</si>
  <si>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</si>
  <si>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</si>
  <si>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</si>
  <si>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</si>
  <si>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</si>
  <si>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</si>
  <si>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</si>
  <si>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</si>
  <si>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</si>
  <si>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</si>
  <si>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</si>
  <si>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</si>
  <si>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</si>
  <si>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</si>
  <si>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</si>
  <si>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</si>
  <si>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</si>
  <si>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</si>
  <si>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</si>
  <si>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</si>
  <si>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</si>
  <si>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Ninth: Accelerated Payments to Noteholders</t>
  </si>
  <si>
    <t>Tenth: Class B Noteholders Carry-Over</t>
  </si>
  <si>
    <t>Eleventh: Residual Revenue Fund</t>
  </si>
  <si>
    <t>3/25/16-4/24/16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</si>
</sst>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25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166" fontId="36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1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37" fillId="16" borderId="8" applyNumberFormat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Border="0" applyAlignment="0"/>
    <xf numFmtId="0" fontId="45" fillId="0" borderId="0" applyNumberFormat="0" applyBorder="0" applyAlignment="0"/>
    <xf numFmtId="0" fontId="44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4" borderId="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8" borderId="0" applyNumberFormat="0" applyBorder="0" applyAlignment="0" applyProtection="0"/>
    <xf numFmtId="0" fontId="56" fillId="8" borderId="0" applyNumberFormat="0" applyBorder="0" applyAlignment="0" applyProtection="0"/>
    <xf numFmtId="0" fontId="56" fillId="19" borderId="0" applyNumberFormat="0" applyBorder="0" applyAlignment="0" applyProtection="0"/>
    <xf numFmtId="0" fontId="56" fillId="15" borderId="0" applyNumberFormat="0" applyBorder="0" applyAlignment="0" applyProtection="0"/>
    <xf numFmtId="0" fontId="56" fillId="6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" borderId="0" applyNumberFormat="0" applyBorder="0" applyAlignment="0" applyProtection="0"/>
    <xf numFmtId="0" fontId="56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4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8" fillId="8" borderId="0" applyNumberFormat="0" applyBorder="0" applyAlignment="0" applyProtection="0"/>
    <xf numFmtId="0" fontId="59" fillId="26" borderId="1" applyNumberFormat="0" applyAlignment="0" applyProtection="0"/>
    <xf numFmtId="0" fontId="60" fillId="17" borderId="2" applyNumberFormat="0" applyAlignment="0" applyProtection="0"/>
    <xf numFmtId="0" fontId="61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44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" applyNumberFormat="0" applyAlignment="0" applyProtection="0"/>
    <xf numFmtId="0" fontId="67" fillId="0" borderId="47" applyNumberFormat="0" applyFill="0" applyAlignment="0" applyProtection="0"/>
    <xf numFmtId="0" fontId="68" fillId="7" borderId="0" applyNumberFormat="0" applyBorder="0" applyAlignment="0" applyProtection="0"/>
    <xf numFmtId="0" fontId="55" fillId="4" borderId="7" applyNumberFormat="0" applyFont="0" applyAlignment="0" applyProtection="0"/>
    <xf numFmtId="0" fontId="69" fillId="26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7" applyNumberFormat="0" applyFont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6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6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 applyNumberFormat="0" applyFill="0" applyBorder="0" applyAlignment="0" applyProtection="0"/>
    <xf numFmtId="0" fontId="10" fillId="0" borderId="0"/>
    <xf numFmtId="0" fontId="90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3" fillId="0" borderId="66" applyNumberFormat="0" applyFill="0" applyAlignment="0" applyProtection="0"/>
    <xf numFmtId="0" fontId="9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5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67" applyNumberFormat="0" applyAlignment="0" applyProtection="0"/>
    <xf numFmtId="0" fontId="98" fillId="31" borderId="68" applyNumberFormat="0" applyAlignment="0" applyProtection="0"/>
    <xf numFmtId="0" fontId="99" fillId="31" borderId="67" applyNumberFormat="0" applyAlignment="0" applyProtection="0"/>
    <xf numFmtId="0" fontId="100" fillId="0" borderId="69" applyNumberFormat="0" applyFill="0" applyAlignment="0" applyProtection="0"/>
    <xf numFmtId="0" fontId="101" fillId="32" borderId="70" applyNumberFormat="0" applyAlignment="0" applyProtection="0"/>
    <xf numFmtId="0" fontId="102" fillId="0" borderId="0" applyNumberFormat="0" applyFill="0" applyBorder="0" applyAlignment="0" applyProtection="0"/>
    <xf numFmtId="0" fontId="10" fillId="33" borderId="71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72" applyNumberFormat="0" applyFill="0" applyAlignment="0" applyProtection="0"/>
    <xf numFmtId="0" fontId="10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5" fillId="57" borderId="0" applyNumberFormat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106" fillId="0" borderId="0"/>
    <xf numFmtId="178" fontId="106" fillId="0" borderId="0"/>
    <xf numFmtId="177" fontId="106" fillId="0" borderId="0"/>
    <xf numFmtId="176" fontId="106" fillId="0" borderId="0"/>
    <xf numFmtId="0" fontId="106" fillId="0" borderId="0"/>
    <xf numFmtId="0" fontId="107" fillId="0" borderId="0"/>
    <xf numFmtId="0" fontId="108" fillId="0" borderId="0"/>
    <xf numFmtId="0" fontId="106" fillId="0" borderId="0"/>
    <xf numFmtId="0" fontId="83" fillId="0" borderId="0" applyNumberForma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46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81" applyNumberFormat="0" applyFill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69" fillId="26" borderId="80" applyNumberFormat="0" applyAlignment="0" applyProtection="0"/>
    <xf numFmtId="0" fontId="71" fillId="0" borderId="82" applyNumberFormat="0" applyFill="0" applyAlignment="0" applyProtection="0"/>
    <xf numFmtId="0" fontId="37" fillId="16" borderId="80" applyNumberFormat="0" applyAlignment="0" applyProtection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7" fillId="0" borderId="0"/>
    <xf numFmtId="0" fontId="26" fillId="16" borderId="8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7" borderId="8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26" borderId="87" applyNumberFormat="0" applyAlignment="0" applyProtection="0"/>
    <xf numFmtId="0" fontId="66" fillId="5" borderId="87" applyNumberFormat="0" applyAlignment="0" applyProtection="0"/>
    <xf numFmtId="0" fontId="37" fillId="16" borderId="88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83" fillId="0" borderId="0" applyNumberFormat="0" applyFill="0" applyBorder="0" applyAlignment="0" applyProtection="0"/>
    <xf numFmtId="0" fontId="3" fillId="0" borderId="0"/>
    <xf numFmtId="0" fontId="39" fillId="0" borderId="89" applyNumberFormat="0" applyFill="0" applyAlignment="0" applyProtection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26" borderId="88" applyNumberFormat="0" applyAlignment="0" applyProtection="0"/>
    <xf numFmtId="0" fontId="71" fillId="0" borderId="90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8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9" fillId="26" borderId="88" applyNumberFormat="0" applyAlignment="0" applyProtection="0"/>
    <xf numFmtId="0" fontId="71" fillId="0" borderId="90" applyNumberFormat="0" applyFill="0" applyAlignment="0" applyProtection="0"/>
    <xf numFmtId="0" fontId="37" fillId="16" borderId="88" applyNumberFormat="0" applyAlignment="0" applyProtection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26" fillId="16" borderId="9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7" borderId="9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6" borderId="91" applyNumberFormat="0" applyAlignment="0" applyProtection="0"/>
    <xf numFmtId="0" fontId="66" fillId="5" borderId="91" applyNumberFormat="0" applyAlignment="0" applyProtection="0"/>
    <xf numFmtId="0" fontId="37" fillId="16" borderId="9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39" fillId="0" borderId="93" applyNumberFormat="0" applyFill="0" applyAlignment="0" applyProtection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26" borderId="92" applyNumberFormat="0" applyAlignment="0" applyProtection="0"/>
    <xf numFmtId="0" fontId="71" fillId="0" borderId="9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530">
    <xf numFmtId="0" fontId="0" fillId="0" borderId="0" xfId="0"/>
    <xf numFmtId="0" fontId="21" fillId="0" borderId="0" xfId="0" applyFont="1" applyFill="1" applyBorder="1"/>
    <xf numFmtId="0" fontId="21" fillId="0" borderId="11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/>
    <xf numFmtId="0" fontId="22" fillId="0" borderId="0" xfId="0" applyFont="1" applyFill="1"/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0" xfId="0" applyFont="1" applyFill="1" applyBorder="1"/>
    <xf numFmtId="0" fontId="22" fillId="0" borderId="11" xfId="0" applyFont="1" applyFill="1" applyBorder="1"/>
    <xf numFmtId="164" fontId="22" fillId="0" borderId="15" xfId="28" applyNumberFormat="1" applyFont="1" applyFill="1" applyBorder="1"/>
    <xf numFmtId="0" fontId="18" fillId="0" borderId="0" xfId="0" applyFont="1" applyFill="1"/>
    <xf numFmtId="0" fontId="22" fillId="0" borderId="21" xfId="0" applyFont="1" applyFill="1" applyBorder="1"/>
    <xf numFmtId="0" fontId="21" fillId="0" borderId="22" xfId="0" applyFont="1" applyFill="1" applyBorder="1"/>
    <xf numFmtId="0" fontId="22" fillId="0" borderId="14" xfId="0" applyFont="1" applyFill="1" applyBorder="1"/>
    <xf numFmtId="0" fontId="22" fillId="0" borderId="25" xfId="0" applyFont="1" applyFill="1" applyBorder="1"/>
    <xf numFmtId="0" fontId="18" fillId="0" borderId="26" xfId="0" applyFont="1" applyFill="1" applyBorder="1"/>
    <xf numFmtId="0" fontId="22" fillId="0" borderId="27" xfId="0" applyFont="1" applyFill="1" applyBorder="1"/>
    <xf numFmtId="0" fontId="22" fillId="0" borderId="20" xfId="0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26" xfId="0" applyFont="1" applyFill="1" applyBorder="1"/>
    <xf numFmtId="10" fontId="22" fillId="0" borderId="19" xfId="142" applyNumberFormat="1" applyFont="1" applyFill="1" applyBorder="1" applyAlignment="1">
      <alignment horizontal="center"/>
    </xf>
    <xf numFmtId="10" fontId="22" fillId="0" borderId="20" xfId="142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 applyAlignment="1">
      <alignment horizontal="center"/>
    </xf>
    <xf numFmtId="0" fontId="21" fillId="0" borderId="15" xfId="0" applyFont="1" applyFill="1" applyBorder="1"/>
    <xf numFmtId="0" fontId="18" fillId="0" borderId="14" xfId="0" applyFont="1" applyFill="1" applyBorder="1"/>
    <xf numFmtId="0" fontId="22" fillId="0" borderId="15" xfId="0" applyFont="1" applyFill="1" applyBorder="1"/>
    <xf numFmtId="0" fontId="22" fillId="0" borderId="22" xfId="0" applyFont="1" applyFill="1" applyBorder="1"/>
    <xf numFmtId="43" fontId="22" fillId="0" borderId="29" xfId="28" applyNumberFormat="1" applyFont="1" applyFill="1" applyBorder="1"/>
    <xf numFmtId="0" fontId="22" fillId="0" borderId="19" xfId="0" applyFont="1" applyFill="1" applyBorder="1"/>
    <xf numFmtId="0" fontId="18" fillId="0" borderId="30" xfId="0" applyFont="1" applyFill="1" applyBorder="1"/>
    <xf numFmtId="43" fontId="18" fillId="0" borderId="30" xfId="28" applyNumberFormat="1" applyFont="1" applyFill="1" applyBorder="1" applyAlignment="1">
      <alignment horizontal="center"/>
    </xf>
    <xf numFmtId="43" fontId="18" fillId="0" borderId="20" xfId="28" applyNumberFormat="1" applyFont="1" applyFill="1" applyBorder="1"/>
    <xf numFmtId="10" fontId="21" fillId="0" borderId="22" xfId="142" applyNumberFormat="1" applyFont="1" applyFill="1" applyBorder="1"/>
    <xf numFmtId="10" fontId="21" fillId="0" borderId="17" xfId="142" applyNumberFormat="1" applyFont="1" applyFill="1" applyBorder="1"/>
    <xf numFmtId="43" fontId="18" fillId="0" borderId="24" xfId="28" applyFont="1" applyFill="1" applyBorder="1" applyAlignment="1">
      <alignment horizontal="center"/>
    </xf>
    <xf numFmtId="43" fontId="18" fillId="0" borderId="30" xfId="28" applyFont="1" applyFill="1" applyBorder="1" applyAlignment="1">
      <alignment horizontal="center"/>
    </xf>
    <xf numFmtId="0" fontId="21" fillId="0" borderId="0" xfId="0" applyFont="1" applyFill="1"/>
    <xf numFmtId="0" fontId="19" fillId="0" borderId="0" xfId="0" applyFont="1" applyFill="1"/>
    <xf numFmtId="0" fontId="22" fillId="0" borderId="12" xfId="0" applyFont="1" applyFill="1" applyBorder="1"/>
    <xf numFmtId="0" fontId="21" fillId="0" borderId="32" xfId="0" applyFont="1" applyFill="1" applyBorder="1"/>
    <xf numFmtId="0" fontId="21" fillId="0" borderId="18" xfId="0" applyFont="1" applyFill="1" applyBorder="1"/>
    <xf numFmtId="0" fontId="18" fillId="0" borderId="22" xfId="0" applyFont="1" applyFill="1" applyBorder="1"/>
    <xf numFmtId="0" fontId="22" fillId="0" borderId="29" xfId="0" applyFont="1" applyFill="1" applyBorder="1"/>
    <xf numFmtId="164" fontId="22" fillId="0" borderId="32" xfId="28" applyNumberFormat="1" applyFont="1" applyFill="1" applyBorder="1"/>
    <xf numFmtId="164" fontId="18" fillId="0" borderId="15" xfId="28" applyNumberFormat="1" applyFont="1" applyFill="1" applyBorder="1"/>
    <xf numFmtId="10" fontId="22" fillId="0" borderId="28" xfId="142" applyNumberFormat="1" applyFont="1" applyFill="1" applyBorder="1"/>
    <xf numFmtId="165" fontId="21" fillId="0" borderId="32" xfId="28" applyNumberFormat="1" applyFont="1" applyFill="1" applyBorder="1"/>
    <xf numFmtId="165" fontId="21" fillId="0" borderId="18" xfId="28" applyNumberFormat="1" applyFont="1" applyFill="1" applyBorder="1"/>
    <xf numFmtId="0" fontId="19" fillId="0" borderId="0" xfId="0" applyFont="1" applyFill="1" applyBorder="1"/>
    <xf numFmtId="10" fontId="40" fillId="0" borderId="20" xfId="142" applyNumberFormat="1" applyFont="1" applyFill="1" applyBorder="1" applyAlignment="1">
      <alignment horizontal="center"/>
    </xf>
    <xf numFmtId="14" fontId="22" fillId="0" borderId="15" xfId="142" applyNumberFormat="1" applyFont="1" applyFill="1" applyBorder="1" applyAlignment="1">
      <alignment horizontal="center"/>
    </xf>
    <xf numFmtId="164" fontId="22" fillId="0" borderId="0" xfId="0" applyNumberFormat="1" applyFont="1" applyFill="1"/>
    <xf numFmtId="43" fontId="22" fillId="0" borderId="0" xfId="0" applyNumberFormat="1" applyFont="1" applyFill="1"/>
    <xf numFmtId="43" fontId="22" fillId="0" borderId="15" xfId="28" applyFont="1" applyFill="1" applyBorder="1"/>
    <xf numFmtId="43" fontId="22" fillId="0" borderId="0" xfId="28" applyFont="1" applyFill="1"/>
    <xf numFmtId="167" fontId="22" fillId="0" borderId="0" xfId="142" applyNumberFormat="1" applyFont="1" applyFill="1" applyBorder="1" applyAlignment="1">
      <alignment horizontal="center"/>
    </xf>
    <xf numFmtId="0" fontId="18" fillId="0" borderId="21" xfId="0" applyFont="1" applyFill="1" applyBorder="1"/>
    <xf numFmtId="0" fontId="22" fillId="0" borderId="35" xfId="0" applyFont="1" applyFill="1" applyBorder="1"/>
    <xf numFmtId="0" fontId="40" fillId="0" borderId="0" xfId="0" applyFont="1" applyFill="1" applyBorder="1"/>
    <xf numFmtId="0" fontId="22" fillId="0" borderId="30" xfId="0" applyFont="1" applyFill="1" applyBorder="1"/>
    <xf numFmtId="14" fontId="22" fillId="0" borderId="32" xfId="0" applyNumberFormat="1" applyFont="1" applyFill="1" applyBorder="1" applyAlignment="1">
      <alignment horizontal="center"/>
    </xf>
    <xf numFmtId="0" fontId="22" fillId="0" borderId="36" xfId="0" applyFont="1" applyFill="1" applyBorder="1"/>
    <xf numFmtId="0" fontId="22" fillId="0" borderId="37" xfId="0" applyFont="1" applyFill="1" applyBorder="1"/>
    <xf numFmtId="0" fontId="20" fillId="0" borderId="0" xfId="0" applyFont="1" applyFill="1"/>
    <xf numFmtId="10" fontId="22" fillId="0" borderId="29" xfId="142" applyNumberFormat="1" applyFont="1" applyFill="1" applyBorder="1" applyAlignment="1">
      <alignment horizontal="center"/>
    </xf>
    <xf numFmtId="43" fontId="22" fillId="0" borderId="35" xfId="28" applyNumberFormat="1" applyFont="1" applyFill="1" applyBorder="1"/>
    <xf numFmtId="43" fontId="22" fillId="0" borderId="20" xfId="28" applyNumberFormat="1" applyFont="1" applyFill="1" applyBorder="1"/>
    <xf numFmtId="43" fontId="22" fillId="0" borderId="20" xfId="0" applyNumberFormat="1" applyFont="1" applyFill="1" applyBorder="1" applyAlignment="1">
      <alignment horizontal="center"/>
    </xf>
    <xf numFmtId="43" fontId="22" fillId="0" borderId="37" xfId="28" applyNumberFormat="1" applyFont="1" applyFill="1" applyBorder="1"/>
    <xf numFmtId="43" fontId="22" fillId="0" borderId="19" xfId="28" applyNumberFormat="1" applyFont="1" applyFill="1" applyBorder="1"/>
    <xf numFmtId="43" fontId="22" fillId="0" borderId="19" xfId="28" applyNumberFormat="1" applyFont="1" applyFill="1" applyBorder="1" applyAlignment="1">
      <alignment horizontal="center"/>
    </xf>
    <xf numFmtId="43" fontId="22" fillId="0" borderId="29" xfId="28" applyNumberFormat="1" applyFont="1" applyFill="1" applyBorder="1" applyAlignment="1">
      <alignment horizontal="center"/>
    </xf>
    <xf numFmtId="43" fontId="18" fillId="0" borderId="15" xfId="28" applyFont="1" applyFill="1" applyBorder="1"/>
    <xf numFmtId="0" fontId="22" fillId="0" borderId="11" xfId="52" applyFont="1" applyFill="1" applyBorder="1"/>
    <xf numFmtId="0" fontId="22" fillId="0" borderId="15" xfId="52" applyFont="1" applyFill="1" applyBorder="1"/>
    <xf numFmtId="2" fontId="18" fillId="0" borderId="0" xfId="143" applyNumberFormat="1" applyFont="1" applyFill="1" applyBorder="1" applyAlignment="1">
      <alignment horizontal="center"/>
    </xf>
    <xf numFmtId="2" fontId="18" fillId="0" borderId="15" xfId="143" applyNumberFormat="1" applyFont="1" applyFill="1" applyBorder="1" applyAlignment="1">
      <alignment horizontal="center"/>
    </xf>
    <xf numFmtId="9" fontId="18" fillId="0" borderId="20" xfId="142" applyFont="1" applyFill="1" applyBorder="1" applyAlignment="1">
      <alignment horizontal="center"/>
    </xf>
    <xf numFmtId="43" fontId="22" fillId="0" borderId="28" xfId="28" applyFont="1" applyFill="1" applyBorder="1"/>
    <xf numFmtId="0" fontId="18" fillId="0" borderId="31" xfId="0" applyFont="1" applyFill="1" applyBorder="1"/>
    <xf numFmtId="43" fontId="22" fillId="0" borderId="37" xfId="28" applyFont="1" applyFill="1" applyBorder="1"/>
    <xf numFmtId="43" fontId="22" fillId="0" borderId="35" xfId="28" applyFont="1" applyFill="1" applyBorder="1"/>
    <xf numFmtId="0" fontId="18" fillId="0" borderId="34" xfId="0" applyFont="1" applyFill="1" applyBorder="1"/>
    <xf numFmtId="0" fontId="22" fillId="0" borderId="43" xfId="0" applyFont="1" applyFill="1" applyBorder="1"/>
    <xf numFmtId="0" fontId="19" fillId="0" borderId="13" xfId="0" applyFont="1" applyFill="1" applyBorder="1"/>
    <xf numFmtId="0" fontId="18" fillId="0" borderId="2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11" xfId="0" applyFont="1" applyFill="1" applyBorder="1"/>
    <xf numFmtId="0" fontId="18" fillId="0" borderId="11" xfId="0" applyFont="1" applyFill="1" applyBorder="1"/>
    <xf numFmtId="10" fontId="22" fillId="0" borderId="35" xfId="142" applyNumberFormat="1" applyFont="1" applyFill="1" applyBorder="1"/>
    <xf numFmtId="10" fontId="22" fillId="0" borderId="37" xfId="142" applyNumberFormat="1" applyFont="1" applyFill="1" applyBorder="1"/>
    <xf numFmtId="164" fontId="18" fillId="0" borderId="37" xfId="0" applyNumberFormat="1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27" xfId="0" applyFont="1" applyFill="1" applyBorder="1"/>
    <xf numFmtId="164" fontId="18" fillId="0" borderId="19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/>
    <xf numFmtId="14" fontId="22" fillId="0" borderId="0" xfId="0" applyNumberFormat="1" applyFont="1" applyFill="1"/>
    <xf numFmtId="43" fontId="22" fillId="0" borderId="19" xfId="28" applyFont="1" applyFill="1" applyBorder="1"/>
    <xf numFmtId="0" fontId="20" fillId="0" borderId="0" xfId="0" applyFont="1" applyFill="1" applyBorder="1"/>
    <xf numFmtId="0" fontId="17" fillId="0" borderId="22" xfId="0" applyFont="1" applyFill="1" applyBorder="1"/>
    <xf numFmtId="10" fontId="18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2" fillId="0" borderId="0" xfId="0" applyNumberFormat="1" applyFont="1" applyFill="1"/>
    <xf numFmtId="171" fontId="22" fillId="0" borderId="0" xfId="0" applyNumberFormat="1" applyFont="1" applyFill="1"/>
    <xf numFmtId="41" fontId="22" fillId="0" borderId="0" xfId="0" applyNumberFormat="1" applyFont="1" applyFill="1"/>
    <xf numFmtId="10" fontId="22" fillId="0" borderId="0" xfId="142" applyNumberFormat="1" applyFont="1" applyFill="1"/>
    <xf numFmtId="172" fontId="22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44" fontId="22" fillId="0" borderId="0" xfId="35" applyFont="1" applyFill="1" applyBorder="1"/>
    <xf numFmtId="44" fontId="22" fillId="0" borderId="0" xfId="0" applyNumberFormat="1" applyFont="1" applyFill="1" applyBorder="1"/>
    <xf numFmtId="43" fontId="22" fillId="0" borderId="36" xfId="28" applyNumberFormat="1" applyFont="1" applyFill="1" applyBorder="1"/>
    <xf numFmtId="167" fontId="22" fillId="0" borderId="19" xfId="142" applyNumberFormat="1" applyFont="1" applyFill="1" applyBorder="1" applyAlignment="1">
      <alignment horizontal="center"/>
    </xf>
    <xf numFmtId="43" fontId="22" fillId="0" borderId="24" xfId="34" applyFont="1" applyFill="1" applyBorder="1" applyAlignment="1">
      <alignment horizontal="center"/>
    </xf>
    <xf numFmtId="43" fontId="17" fillId="0" borderId="20" xfId="28" applyFont="1" applyFill="1" applyBorder="1"/>
    <xf numFmtId="43" fontId="18" fillId="0" borderId="19" xfId="28" applyFont="1" applyFill="1" applyBorder="1"/>
    <xf numFmtId="43" fontId="18" fillId="0" borderId="37" xfId="28" applyFont="1" applyFill="1" applyBorder="1"/>
    <xf numFmtId="43" fontId="18" fillId="0" borderId="29" xfId="28" applyFont="1" applyFill="1" applyBorder="1" applyAlignment="1">
      <alignment horizontal="center"/>
    </xf>
    <xf numFmtId="10" fontId="18" fillId="0" borderId="12" xfId="143" applyNumberFormat="1" applyFont="1" applyFill="1" applyBorder="1" applyAlignment="1">
      <alignment horizontal="center"/>
    </xf>
    <xf numFmtId="10" fontId="18" fillId="0" borderId="42" xfId="143" applyNumberFormat="1" applyFont="1" applyFill="1" applyBorder="1" applyAlignment="1"/>
    <xf numFmtId="10" fontId="18" fillId="0" borderId="23" xfId="143" applyNumberFormat="1" applyFont="1" applyFill="1" applyBorder="1" applyAlignment="1"/>
    <xf numFmtId="2" fontId="18" fillId="0" borderId="18" xfId="142" applyNumberFormat="1" applyFont="1" applyFill="1" applyBorder="1" applyAlignment="1"/>
    <xf numFmtId="0" fontId="17" fillId="0" borderId="0" xfId="0" applyFont="1" applyFill="1" applyBorder="1" applyAlignment="1">
      <alignment horizontal="left" indent="2"/>
    </xf>
    <xf numFmtId="0" fontId="17" fillId="0" borderId="11" xfId="0" applyFont="1" applyFill="1" applyBorder="1" applyAlignment="1">
      <alignment horizontal="left" indent="3"/>
    </xf>
    <xf numFmtId="0" fontId="22" fillId="0" borderId="26" xfId="0" applyFont="1" applyFill="1" applyBorder="1" applyAlignment="1">
      <alignment horizontal="left" indent="3"/>
    </xf>
    <xf numFmtId="0" fontId="0" fillId="0" borderId="0" xfId="0" applyFill="1"/>
    <xf numFmtId="0" fontId="18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3" fontId="17" fillId="0" borderId="19" xfId="35" applyNumberFormat="1" applyFont="1" applyFill="1" applyBorder="1" applyAlignment="1">
      <alignment horizontal="right"/>
    </xf>
    <xf numFmtId="43" fontId="17" fillId="0" borderId="41" xfId="35" applyNumberFormat="1" applyFont="1" applyFill="1" applyBorder="1" applyAlignment="1">
      <alignment horizontal="right"/>
    </xf>
    <xf numFmtId="2" fontId="17" fillId="0" borderId="32" xfId="142" applyNumberFormat="1" applyFont="1" applyFill="1" applyBorder="1" applyAlignment="1"/>
    <xf numFmtId="43" fontId="18" fillId="0" borderId="19" xfId="35" applyNumberFormat="1" applyFont="1" applyFill="1" applyBorder="1" applyAlignment="1">
      <alignment horizontal="right"/>
    </xf>
    <xf numFmtId="2" fontId="17" fillId="0" borderId="15" xfId="142" applyNumberFormat="1" applyFont="1" applyFill="1" applyBorder="1" applyAlignment="1"/>
    <xf numFmtId="43" fontId="17" fillId="0" borderId="41" xfId="0" applyNumberFormat="1" applyFont="1" applyFill="1" applyBorder="1" applyAlignment="1">
      <alignment horizontal="right"/>
    </xf>
    <xf numFmtId="2" fontId="17" fillId="0" borderId="28" xfId="142" applyNumberFormat="1" applyFont="1" applyFill="1" applyBorder="1" applyAlignment="1"/>
    <xf numFmtId="0" fontId="17" fillId="0" borderId="19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right"/>
    </xf>
    <xf numFmtId="41" fontId="17" fillId="0" borderId="4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3" fontId="22" fillId="0" borderId="0" xfId="28" applyFont="1" applyFill="1" applyBorder="1"/>
    <xf numFmtId="164" fontId="22" fillId="0" borderId="0" xfId="28" applyNumberFormat="1" applyFont="1" applyFill="1" applyBorder="1"/>
    <xf numFmtId="43" fontId="22" fillId="0" borderId="0" xfId="28" applyNumberFormat="1" applyFont="1" applyFill="1" applyBorder="1"/>
    <xf numFmtId="0" fontId="22" fillId="0" borderId="31" xfId="0" applyFont="1" applyFill="1" applyBorder="1"/>
    <xf numFmtId="0" fontId="20" fillId="0" borderId="0" xfId="0" applyFont="1" applyFill="1" applyBorder="1" applyAlignment="1">
      <alignment vertical="center" wrapText="1"/>
    </xf>
    <xf numFmtId="0" fontId="76" fillId="0" borderId="34" xfId="0" applyFont="1" applyFill="1" applyBorder="1"/>
    <xf numFmtId="0" fontId="0" fillId="0" borderId="50" xfId="0" applyFill="1" applyBorder="1"/>
    <xf numFmtId="0" fontId="76" fillId="0" borderId="0" xfId="0" applyFont="1" applyFill="1" applyBorder="1"/>
    <xf numFmtId="0" fontId="0" fillId="0" borderId="13" xfId="0" applyFill="1" applyBorder="1"/>
    <xf numFmtId="14" fontId="18" fillId="0" borderId="28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7" fillId="0" borderId="15" xfId="28" applyFont="1" applyFill="1" applyBorder="1"/>
    <xf numFmtId="0" fontId="79" fillId="0" borderId="0" xfId="0" applyFont="1" applyFill="1" applyBorder="1"/>
    <xf numFmtId="43" fontId="17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7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1" fillId="0" borderId="13" xfId="254" applyFont="1" applyFill="1" applyBorder="1"/>
    <xf numFmtId="0" fontId="20" fillId="0" borderId="14" xfId="0" applyFont="1" applyFill="1" applyBorder="1"/>
    <xf numFmtId="0" fontId="77" fillId="0" borderId="14" xfId="0" applyFont="1" applyFill="1" applyBorder="1"/>
    <xf numFmtId="0" fontId="20" fillId="0" borderId="25" xfId="0" applyFont="1" applyFill="1" applyBorder="1"/>
    <xf numFmtId="0" fontId="21" fillId="0" borderId="11" xfId="272" applyFont="1" applyFill="1" applyBorder="1"/>
    <xf numFmtId="0" fontId="20" fillId="0" borderId="15" xfId="0" applyFont="1" applyFill="1" applyBorder="1"/>
    <xf numFmtId="43" fontId="20" fillId="0" borderId="0" xfId="0" applyNumberFormat="1" applyFont="1" applyFill="1"/>
    <xf numFmtId="44" fontId="20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1" fillId="0" borderId="0" xfId="159" applyFont="1" applyFill="1" applyBorder="1"/>
    <xf numFmtId="43" fontId="20" fillId="0" borderId="0" xfId="28" applyFont="1" applyFill="1"/>
    <xf numFmtId="0" fontId="21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8" fillId="0" borderId="10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4" fillId="0" borderId="11" xfId="0" applyFont="1" applyFill="1" applyBorder="1"/>
    <xf numFmtId="0" fontId="75" fillId="0" borderId="11" xfId="0" applyFont="1" applyFill="1" applyBorder="1"/>
    <xf numFmtId="43" fontId="22" fillId="0" borderId="0" xfId="28" applyFont="1" applyFill="1" applyBorder="1" applyAlignment="1">
      <alignment horizontal="center"/>
    </xf>
    <xf numFmtId="10" fontId="22" fillId="0" borderId="0" xfId="142" applyNumberFormat="1" applyFont="1" applyFill="1" applyBorder="1" applyAlignment="1">
      <alignment horizontal="center"/>
    </xf>
    <xf numFmtId="43" fontId="18" fillId="0" borderId="0" xfId="28" applyFont="1" applyFill="1" applyBorder="1"/>
    <xf numFmtId="0" fontId="18" fillId="0" borderId="42" xfId="0" applyFont="1" applyFill="1" applyBorder="1" applyAlignment="1">
      <alignment horizontal="centerContinuous"/>
    </xf>
    <xf numFmtId="0" fontId="18" fillId="0" borderId="30" xfId="0" applyFont="1" applyFill="1" applyBorder="1" applyAlignment="1">
      <alignment horizontal="centerContinuous"/>
    </xf>
    <xf numFmtId="0" fontId="17" fillId="0" borderId="0" xfId="266" applyFont="1" applyFill="1" applyBorder="1"/>
    <xf numFmtId="43" fontId="81" fillId="0" borderId="0" xfId="28" applyFont="1" applyFill="1" applyBorder="1"/>
    <xf numFmtId="43" fontId="80" fillId="0" borderId="0" xfId="0" applyNumberFormat="1" applyFont="1" applyFill="1" applyBorder="1"/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0" applyFont="1" applyBorder="1" applyAlignment="1"/>
    <xf numFmtId="0" fontId="17" fillId="0" borderId="25" xfId="0" applyFont="1" applyBorder="1" applyAlignment="1"/>
    <xf numFmtId="0" fontId="17" fillId="0" borderId="0" xfId="0" applyFont="1" applyBorder="1" applyAlignment="1"/>
    <xf numFmtId="0" fontId="17" fillId="0" borderId="15" xfId="0" applyFont="1" applyBorder="1" applyAlignment="1"/>
    <xf numFmtId="14" fontId="17" fillId="0" borderId="0" xfId="0" applyNumberFormat="1" applyFont="1" applyBorder="1" applyAlignment="1"/>
    <xf numFmtId="14" fontId="17" fillId="0" borderId="15" xfId="0" applyNumberFormat="1" applyFont="1" applyBorder="1" applyAlignment="1"/>
    <xf numFmtId="0" fontId="78" fillId="0" borderId="17" xfId="479" applyFont="1" applyBorder="1" applyAlignment="1" applyProtection="1"/>
    <xf numFmtId="0" fontId="17" fillId="0" borderId="17" xfId="0" applyFont="1" applyBorder="1" applyAlignment="1"/>
    <xf numFmtId="0" fontId="17" fillId="0" borderId="18" xfId="0" applyFont="1" applyBorder="1" applyAlignment="1"/>
    <xf numFmtId="14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0" fillId="0" borderId="0" xfId="0" applyFont="1" applyBorder="1"/>
    <xf numFmtId="0" fontId="77" fillId="0" borderId="0" xfId="0" applyFont="1" applyBorder="1"/>
    <xf numFmtId="0" fontId="0" fillId="0" borderId="17" xfId="0" applyBorder="1"/>
    <xf numFmtId="0" fontId="18" fillId="0" borderId="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0" fontId="22" fillId="0" borderId="28" xfId="142" applyNumberFormat="1" applyFont="1" applyFill="1" applyBorder="1" applyAlignment="1"/>
    <xf numFmtId="10" fontId="17" fillId="0" borderId="29" xfId="142" applyNumberFormat="1" applyFont="1" applyFill="1" applyBorder="1" applyAlignment="1">
      <alignment horizontal="center"/>
    </xf>
    <xf numFmtId="0" fontId="19" fillId="0" borderId="13" xfId="480" applyFont="1" applyFill="1" applyBorder="1"/>
    <xf numFmtId="0" fontId="17" fillId="0" borderId="14" xfId="480" applyFont="1" applyFill="1" applyBorder="1"/>
    <xf numFmtId="0" fontId="17" fillId="0" borderId="25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8" fillId="0" borderId="26" xfId="480" applyFont="1" applyFill="1" applyBorder="1"/>
    <xf numFmtId="0" fontId="18" fillId="0" borderId="12" xfId="480" applyFont="1" applyFill="1" applyBorder="1"/>
    <xf numFmtId="0" fontId="18" fillId="0" borderId="23" xfId="480" applyFont="1" applyFill="1" applyBorder="1" applyAlignment="1">
      <alignment horizontal="center"/>
    </xf>
    <xf numFmtId="0" fontId="18" fillId="0" borderId="0" xfId="480" applyFont="1" applyFill="1" applyBorder="1"/>
    <xf numFmtId="0" fontId="17" fillId="0" borderId="19" xfId="480" applyFont="1" applyFill="1" applyBorder="1"/>
    <xf numFmtId="0" fontId="21" fillId="0" borderId="11" xfId="480" applyFont="1" applyFill="1" applyBorder="1"/>
    <xf numFmtId="0" fontId="21" fillId="0" borderId="0" xfId="480" applyFont="1" applyFill="1" applyBorder="1"/>
    <xf numFmtId="0" fontId="21" fillId="0" borderId="15" xfId="480" applyFont="1" applyFill="1" applyBorder="1"/>
    <xf numFmtId="0" fontId="17" fillId="0" borderId="16" xfId="480" applyFont="1" applyFill="1" applyBorder="1"/>
    <xf numFmtId="0" fontId="17" fillId="0" borderId="17" xfId="480" applyFont="1" applyFill="1" applyBorder="1"/>
    <xf numFmtId="0" fontId="17" fillId="0" borderId="18" xfId="480" applyFont="1" applyFill="1" applyBorder="1"/>
    <xf numFmtId="0" fontId="18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8" fillId="0" borderId="0" xfId="727" applyNumberFormat="1" applyFont="1" applyFill="1" applyBorder="1" applyAlignment="1" applyProtection="1">
      <alignment horizontal="centerContinuous"/>
    </xf>
    <xf numFmtId="0" fontId="18" fillId="0" borderId="0" xfId="0" applyNumberFormat="1" applyFont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fill"/>
      <protection locked="0"/>
    </xf>
    <xf numFmtId="0" fontId="18" fillId="0" borderId="0" xfId="728" applyNumberFormat="1" applyFont="1" applyFill="1" applyBorder="1" applyAlignment="1" applyProtection="1">
      <alignment horizontal="left"/>
      <protection locked="0"/>
    </xf>
    <xf numFmtId="175" fontId="18" fillId="0" borderId="55" xfId="728" applyNumberFormat="1" applyFont="1" applyFill="1" applyBorder="1" applyAlignment="1" applyProtection="1">
      <alignment horizontal="right"/>
    </xf>
    <xf numFmtId="44" fontId="17" fillId="0" borderId="0" xfId="35" applyFont="1" applyFill="1" applyBorder="1" applyAlignment="1" applyProtection="1">
      <alignment horizontal="right"/>
    </xf>
    <xf numFmtId="175" fontId="17" fillId="0" borderId="55" xfId="728" applyNumberFormat="1" applyFont="1" applyFill="1" applyBorder="1" applyAlignment="1" applyProtection="1">
      <alignment horizontal="right"/>
    </xf>
    <xf numFmtId="164" fontId="17" fillId="0" borderId="0" xfId="728" applyNumberFormat="1" applyFont="1" applyFill="1" applyBorder="1" applyAlignment="1" applyProtection="1">
      <alignment horizontal="fill"/>
      <protection locked="0"/>
    </xf>
    <xf numFmtId="175" fontId="18" fillId="0" borderId="10" xfId="35" applyNumberFormat="1" applyFont="1" applyFill="1" applyBorder="1" applyAlignment="1" applyProtection="1">
      <alignment horizontal="right"/>
    </xf>
    <xf numFmtId="164" fontId="17" fillId="0" borderId="0" xfId="28" applyNumberFormat="1" applyFont="1"/>
    <xf numFmtId="0" fontId="17" fillId="0" borderId="0" xfId="729" applyNumberFormat="1" applyFont="1" applyFill="1" applyBorder="1" applyAlignment="1" applyProtection="1"/>
    <xf numFmtId="164" fontId="17" fillId="0" borderId="0" xfId="729" applyNumberFormat="1" applyFont="1" applyFill="1" applyBorder="1" applyAlignment="1" applyProtection="1"/>
    <xf numFmtId="0" fontId="17" fillId="0" borderId="0" xfId="729"/>
    <xf numFmtId="0" fontId="17" fillId="0" borderId="13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18" fillId="0" borderId="25" xfId="0" applyFont="1" applyFill="1" applyBorder="1" applyAlignment="1">
      <alignment horizontal="center"/>
    </xf>
    <xf numFmtId="0" fontId="17" fillId="0" borderId="16" xfId="0" applyFont="1" applyFill="1" applyBorder="1"/>
    <xf numFmtId="0" fontId="18" fillId="0" borderId="17" xfId="0" applyFont="1" applyFill="1" applyBorder="1" applyAlignment="1">
      <alignment horizontal="center"/>
    </xf>
    <xf numFmtId="43" fontId="17" fillId="0" borderId="18" xfId="28" applyFont="1" applyFill="1" applyBorder="1"/>
    <xf numFmtId="43" fontId="17" fillId="0" borderId="0" xfId="28" applyFont="1" applyFill="1" applyBorder="1" applyAlignment="1">
      <alignment horizontal="center"/>
    </xf>
    <xf numFmtId="10" fontId="17" fillId="0" borderId="0" xfId="142" applyNumberFormat="1" applyFont="1" applyFill="1" applyBorder="1" applyAlignment="1">
      <alignment horizontal="center"/>
    </xf>
    <xf numFmtId="0" fontId="21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7" fillId="0" borderId="28" xfId="28" applyFont="1" applyFill="1" applyBorder="1"/>
    <xf numFmtId="43" fontId="17" fillId="0" borderId="0" xfId="28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3" fontId="82" fillId="0" borderId="0" xfId="28" applyFont="1" applyFill="1" applyBorder="1"/>
    <xf numFmtId="43" fontId="18" fillId="0" borderId="0" xfId="0" applyNumberFormat="1" applyFont="1" applyFill="1" applyBorder="1"/>
    <xf numFmtId="0" fontId="0" fillId="0" borderId="0" xfId="0" applyFont="1" applyFill="1" applyBorder="1"/>
    <xf numFmtId="0" fontId="76" fillId="0" borderId="11" xfId="0" applyFont="1" applyFill="1" applyBorder="1"/>
    <xf numFmtId="0" fontId="22" fillId="0" borderId="29" xfId="0" applyFont="1" applyFill="1" applyBorder="1" applyAlignment="1">
      <alignment horizontal="center"/>
    </xf>
    <xf numFmtId="49" fontId="17" fillId="0" borderId="11" xfId="35" applyNumberFormat="1" applyFont="1" applyFill="1" applyBorder="1"/>
    <xf numFmtId="43" fontId="17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7" fillId="0" borderId="15" xfId="264" applyNumberFormat="1" applyFont="1" applyFill="1" applyBorder="1" applyAlignment="1">
      <alignment horizontal="right"/>
    </xf>
    <xf numFmtId="10" fontId="17" fillId="0" borderId="15" xfId="0" applyNumberFormat="1" applyFont="1" applyFill="1" applyBorder="1" applyAlignment="1">
      <alignment horizontal="right"/>
    </xf>
    <xf numFmtId="0" fontId="21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8" fillId="0" borderId="53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43" fontId="17" fillId="0" borderId="15" xfId="188" applyFont="1" applyFill="1" applyBorder="1" applyAlignment="1">
      <alignment horizontal="right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87" fillId="0" borderId="0" xfId="0" applyFont="1" applyFill="1"/>
    <xf numFmtId="0" fontId="22" fillId="0" borderId="50" xfId="0" applyFont="1" applyFill="1" applyBorder="1"/>
    <xf numFmtId="0" fontId="22" fillId="0" borderId="0" xfId="52" applyFont="1" applyFill="1" applyBorder="1"/>
    <xf numFmtId="0" fontId="21" fillId="0" borderId="0" xfId="52" applyFont="1" applyFill="1" applyBorder="1"/>
    <xf numFmtId="0" fontId="17" fillId="0" borderId="11" xfId="52" applyFont="1" applyFill="1" applyBorder="1"/>
    <xf numFmtId="0" fontId="19" fillId="0" borderId="34" xfId="52" applyFont="1" applyFill="1" applyBorder="1"/>
    <xf numFmtId="0" fontId="22" fillId="0" borderId="51" xfId="52" applyFont="1" applyFill="1" applyBorder="1"/>
    <xf numFmtId="0" fontId="18" fillId="0" borderId="13" xfId="52" applyFont="1" applyFill="1" applyBorder="1"/>
    <xf numFmtId="0" fontId="18" fillId="0" borderId="25" xfId="52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/>
    </xf>
    <xf numFmtId="0" fontId="22" fillId="0" borderId="56" xfId="0" applyFont="1" applyFill="1" applyBorder="1"/>
    <xf numFmtId="0" fontId="22" fillId="0" borderId="57" xfId="0" applyFont="1" applyFill="1" applyBorder="1"/>
    <xf numFmtId="0" fontId="22" fillId="0" borderId="58" xfId="0" applyFont="1" applyFill="1" applyBorder="1"/>
    <xf numFmtId="0" fontId="22" fillId="0" borderId="59" xfId="0" applyFont="1" applyFill="1" applyBorder="1"/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9" fillId="0" borderId="0" xfId="1230" applyBorder="1" applyAlignment="1">
      <alignment horizontal="left"/>
    </xf>
    <xf numFmtId="43" fontId="17" fillId="0" borderId="20" xfId="28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0" fontId="18" fillId="0" borderId="31" xfId="0" applyFont="1" applyFill="1" applyBorder="1" applyAlignment="1">
      <alignment horizontal="center"/>
    </xf>
    <xf numFmtId="2" fontId="18" fillId="0" borderId="73" xfId="142" applyNumberFormat="1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25" xfId="0" applyFont="1" applyFill="1" applyBorder="1"/>
    <xf numFmtId="0" fontId="17" fillId="0" borderId="15" xfId="0" applyFont="1" applyFill="1" applyBorder="1"/>
    <xf numFmtId="0" fontId="18" fillId="0" borderId="58" xfId="0" applyFont="1" applyFill="1" applyBorder="1"/>
    <xf numFmtId="0" fontId="18" fillId="0" borderId="59" xfId="0" applyFont="1" applyFill="1" applyBorder="1"/>
    <xf numFmtId="43" fontId="18" fillId="0" borderId="60" xfId="28" applyNumberFormat="1" applyFont="1" applyFill="1" applyBorder="1" applyAlignment="1">
      <alignment horizontal="center"/>
    </xf>
    <xf numFmtId="0" fontId="17" fillId="0" borderId="21" xfId="0" applyFont="1" applyFill="1" applyBorder="1"/>
    <xf numFmtId="0" fontId="17" fillId="0" borderId="10" xfId="0" applyFont="1" applyFill="1" applyBorder="1"/>
    <xf numFmtId="0" fontId="17" fillId="0" borderId="35" xfId="0" applyFont="1" applyFill="1" applyBorder="1"/>
    <xf numFmtId="0" fontId="17" fillId="0" borderId="36" xfId="480" applyFont="1" applyFill="1" applyBorder="1"/>
    <xf numFmtId="0" fontId="17" fillId="0" borderId="37" xfId="480" applyFont="1" applyFill="1" applyBorder="1"/>
    <xf numFmtId="43" fontId="17" fillId="0" borderId="0" xfId="28" applyFont="1" applyFill="1" applyBorder="1" applyAlignment="1" applyProtection="1"/>
    <xf numFmtId="43" fontId="22" fillId="0" borderId="33" xfId="28" applyNumberFormat="1" applyFont="1" applyFill="1" applyBorder="1"/>
    <xf numFmtId="10" fontId="17" fillId="0" borderId="37" xfId="142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0" xfId="480" applyFont="1" applyFill="1" applyBorder="1" applyAlignment="1">
      <alignment horizontal="center"/>
    </xf>
    <xf numFmtId="43" fontId="18" fillId="0" borderId="37" xfId="28" applyFont="1" applyFill="1" applyBorder="1" applyAlignment="1">
      <alignment horizontal="right"/>
    </xf>
    <xf numFmtId="0" fontId="21" fillId="0" borderId="37" xfId="480" applyFont="1" applyFill="1" applyBorder="1"/>
    <xf numFmtId="0" fontId="17" fillId="0" borderId="74" xfId="480" applyFont="1" applyFill="1" applyBorder="1"/>
    <xf numFmtId="0" fontId="18" fillId="0" borderId="60" xfId="480" applyFont="1" applyFill="1" applyBorder="1" applyAlignment="1">
      <alignment horizontal="center"/>
    </xf>
    <xf numFmtId="43" fontId="17" fillId="0" borderId="19" xfId="28" applyFont="1" applyFill="1" applyBorder="1" applyAlignment="1">
      <alignment horizontal="center"/>
    </xf>
    <xf numFmtId="43" fontId="18" fillId="0" borderId="19" xfId="28" applyFont="1" applyFill="1" applyBorder="1" applyAlignment="1">
      <alignment horizontal="center"/>
    </xf>
    <xf numFmtId="0" fontId="17" fillId="0" borderId="75" xfId="480" applyFont="1" applyFill="1" applyBorder="1"/>
    <xf numFmtId="41" fontId="18" fillId="0" borderId="76" xfId="28" applyNumberFormat="1" applyFont="1" applyFill="1" applyBorder="1" applyAlignment="1">
      <alignment horizontal="right"/>
    </xf>
    <xf numFmtId="43" fontId="18" fillId="0" borderId="76" xfId="28" applyNumberFormat="1" applyFont="1" applyFill="1" applyBorder="1" applyAlignment="1">
      <alignment horizontal="right"/>
    </xf>
    <xf numFmtId="10" fontId="18" fillId="0" borderId="76" xfId="142" applyNumberFormat="1" applyFont="1" applyFill="1" applyBorder="1" applyAlignment="1">
      <alignment horizontal="right"/>
    </xf>
    <xf numFmtId="0" fontId="21" fillId="0" borderId="56" xfId="0" applyFont="1" applyFill="1" applyBorder="1"/>
    <xf numFmtId="0" fontId="21" fillId="0" borderId="77" xfId="0" applyFont="1" applyFill="1" applyBorder="1"/>
    <xf numFmtId="167" fontId="17" fillId="0" borderId="0" xfId="142" applyNumberFormat="1" applyFont="1" applyFill="1" applyBorder="1" applyAlignment="1">
      <alignment horizontal="center"/>
    </xf>
    <xf numFmtId="43" fontId="17" fillId="0" borderId="19" xfId="28" applyFont="1" applyFill="1" applyBorder="1"/>
    <xf numFmtId="43" fontId="17" fillId="0" borderId="19" xfId="0" applyNumberFormat="1" applyFont="1" applyFill="1" applyBorder="1" applyAlignment="1">
      <alignment horizontal="right"/>
    </xf>
    <xf numFmtId="10" fontId="17" fillId="0" borderId="19" xfId="0" applyNumberFormat="1" applyFont="1" applyFill="1" applyBorder="1" applyAlignment="1">
      <alignment horizontal="right"/>
    </xf>
    <xf numFmtId="170" fontId="17" fillId="0" borderId="29" xfId="0" applyNumberFormat="1" applyFont="1" applyFill="1" applyBorder="1" applyAlignment="1">
      <alignment horizontal="right"/>
    </xf>
    <xf numFmtId="170" fontId="17" fillId="0" borderId="39" xfId="0" applyNumberFormat="1" applyFont="1" applyFill="1" applyBorder="1" applyAlignment="1">
      <alignment horizontal="right"/>
    </xf>
    <xf numFmtId="41" fontId="40" fillId="0" borderId="19" xfId="0" applyNumberFormat="1" applyFont="1" applyFill="1" applyBorder="1" applyAlignment="1">
      <alignment horizontal="right"/>
    </xf>
    <xf numFmtId="43" fontId="40" fillId="0" borderId="19" xfId="0" applyNumberFormat="1" applyFont="1" applyFill="1" applyBorder="1" applyAlignment="1">
      <alignment horizontal="right"/>
    </xf>
    <xf numFmtId="10" fontId="40" fillId="0" borderId="19" xfId="0" applyNumberFormat="1" applyFont="1" applyFill="1" applyBorder="1" applyAlignment="1">
      <alignment horizontal="right"/>
    </xf>
    <xf numFmtId="170" fontId="40" fillId="0" borderId="19" xfId="0" applyNumberFormat="1" applyFont="1" applyFill="1" applyBorder="1" applyAlignment="1">
      <alignment horizontal="right"/>
    </xf>
    <xf numFmtId="170" fontId="40" fillId="0" borderId="41" xfId="0" applyNumberFormat="1" applyFont="1" applyFill="1" applyBorder="1" applyAlignment="1">
      <alignment horizontal="right"/>
    </xf>
    <xf numFmtId="170" fontId="18" fillId="0" borderId="20" xfId="0" applyNumberFormat="1" applyFont="1" applyFill="1" applyBorder="1" applyAlignment="1">
      <alignment horizontal="right"/>
    </xf>
    <xf numFmtId="170" fontId="18" fillId="0" borderId="40" xfId="0" applyNumberFormat="1" applyFont="1" applyFill="1" applyBorder="1" applyAlignment="1">
      <alignment horizontal="right"/>
    </xf>
    <xf numFmtId="164" fontId="17" fillId="0" borderId="0" xfId="728" applyNumberFormat="1" applyFont="1" applyFill="1" applyBorder="1" applyAlignment="1" applyProtection="1"/>
    <xf numFmtId="41" fontId="17" fillId="0" borderId="19" xfId="0" applyNumberFormat="1" applyFont="1" applyFill="1" applyBorder="1" applyAlignment="1">
      <alignment horizontal="right"/>
    </xf>
    <xf numFmtId="170" fontId="17" fillId="0" borderId="19" xfId="0" applyNumberFormat="1" applyFont="1" applyFill="1" applyBorder="1" applyAlignment="1">
      <alignment horizontal="right"/>
    </xf>
    <xf numFmtId="170" fontId="17" fillId="0" borderId="41" xfId="0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2" fillId="0" borderId="33" xfId="142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0" fontId="22" fillId="0" borderId="38" xfId="142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10" fontId="18" fillId="0" borderId="84" xfId="34" applyNumberFormat="1" applyFont="1" applyFill="1" applyBorder="1"/>
    <xf numFmtId="168" fontId="17" fillId="0" borderId="15" xfId="0" applyNumberFormat="1" applyFont="1" applyFill="1" applyBorder="1" applyAlignment="1">
      <alignment horizontal="right"/>
    </xf>
    <xf numFmtId="169" fontId="17" fillId="0" borderId="15" xfId="0" applyNumberFormat="1" applyFont="1" applyFill="1" applyBorder="1" applyAlignment="1">
      <alignment horizontal="right"/>
    </xf>
    <xf numFmtId="168" fontId="18" fillId="0" borderId="77" xfId="0" applyNumberFormat="1" applyFont="1" applyFill="1" applyBorder="1" applyAlignment="1">
      <alignment horizontal="right"/>
    </xf>
    <xf numFmtId="10" fontId="17" fillId="0" borderId="29" xfId="28" applyNumberFormat="1" applyFont="1" applyFill="1" applyBorder="1" applyAlignment="1">
      <alignment horizontal="right"/>
    </xf>
    <xf numFmtId="10" fontId="18" fillId="0" borderId="76" xfId="28" applyNumberFormat="1" applyFont="1" applyFill="1" applyBorder="1" applyAlignment="1">
      <alignment horizontal="right"/>
    </xf>
    <xf numFmtId="10" fontId="17" fillId="0" borderId="0" xfId="0" applyNumberFormat="1" applyFont="1" applyFill="1" applyAlignment="1">
      <alignment horizontal="center"/>
    </xf>
    <xf numFmtId="0" fontId="110" fillId="0" borderId="0" xfId="0" applyFont="1" applyFill="1"/>
    <xf numFmtId="43" fontId="110" fillId="0" borderId="0" xfId="28" applyFont="1" applyFill="1" applyAlignment="1">
      <alignment horizontal="center"/>
    </xf>
    <xf numFmtId="10" fontId="110" fillId="0" borderId="0" xfId="28" applyNumberFormat="1" applyFont="1" applyFill="1" applyBorder="1" applyAlignment="1">
      <alignment horizontal="center"/>
    </xf>
    <xf numFmtId="43" fontId="110" fillId="0" borderId="0" xfId="28" applyFont="1" applyFill="1" applyBorder="1" applyAlignment="1">
      <alignment horizontal="center"/>
    </xf>
    <xf numFmtId="10" fontId="110" fillId="0" borderId="0" xfId="28" applyNumberFormat="1" applyFont="1" applyFill="1" applyAlignment="1">
      <alignment horizontal="center"/>
    </xf>
    <xf numFmtId="49" fontId="109" fillId="0" borderId="0" xfId="0" applyNumberFormat="1" applyFont="1" applyFill="1" applyBorder="1" applyAlignment="1">
      <alignment horizontal="center"/>
    </xf>
    <xf numFmtId="0" fontId="20" fillId="0" borderId="85" xfId="0" applyFont="1" applyFill="1" applyBorder="1"/>
    <xf numFmtId="43" fontId="20" fillId="0" borderId="85" xfId="28" applyFont="1" applyFill="1" applyBorder="1"/>
    <xf numFmtId="0" fontId="20" fillId="0" borderId="77" xfId="0" applyFont="1" applyFill="1" applyBorder="1"/>
    <xf numFmtId="10" fontId="17" fillId="0" borderId="56" xfId="142" applyNumberFormat="1" applyFont="1" applyFill="1" applyBorder="1"/>
    <xf numFmtId="10" fontId="17" fillId="0" borderId="85" xfId="142" applyNumberFormat="1" applyFont="1" applyFill="1" applyBorder="1"/>
    <xf numFmtId="10" fontId="17" fillId="0" borderId="77" xfId="142" applyNumberFormat="1" applyFont="1" applyFill="1" applyBorder="1" applyAlignment="1">
      <alignment horizontal="right"/>
    </xf>
    <xf numFmtId="43" fontId="17" fillId="0" borderId="83" xfId="35" applyNumberFormat="1" applyFont="1" applyFill="1" applyBorder="1" applyAlignment="1">
      <alignment horizontal="right"/>
    </xf>
    <xf numFmtId="43" fontId="17" fillId="0" borderId="86" xfId="35" applyNumberFormat="1" applyFont="1" applyFill="1" applyBorder="1" applyAlignment="1">
      <alignment horizontal="right"/>
    </xf>
    <xf numFmtId="43" fontId="18" fillId="0" borderId="41" xfId="35" applyNumberFormat="1" applyFont="1" applyFill="1" applyBorder="1" applyAlignment="1">
      <alignment horizontal="right"/>
    </xf>
    <xf numFmtId="10" fontId="22" fillId="0" borderId="41" xfId="142" applyNumberFormat="1" applyFont="1" applyFill="1" applyBorder="1" applyAlignment="1">
      <alignment horizontal="center"/>
    </xf>
    <xf numFmtId="8" fontId="17" fillId="0" borderId="19" xfId="35" applyNumberFormat="1" applyFont="1" applyFill="1" applyBorder="1" applyAlignment="1">
      <alignment horizontal="right"/>
    </xf>
    <xf numFmtId="8" fontId="17" fillId="0" borderId="41" xfId="35" applyNumberFormat="1" applyFont="1" applyFill="1" applyBorder="1" applyAlignment="1">
      <alignment horizontal="right"/>
    </xf>
    <xf numFmtId="8" fontId="17" fillId="0" borderId="20" xfId="35" applyNumberFormat="1" applyFont="1" applyFill="1" applyBorder="1" applyAlignment="1">
      <alignment horizontal="right"/>
    </xf>
    <xf numFmtId="8" fontId="17" fillId="0" borderId="40" xfId="35" applyNumberFormat="1" applyFont="1" applyFill="1" applyBorder="1" applyAlignment="1">
      <alignment horizontal="right"/>
    </xf>
    <xf numFmtId="0" fontId="18" fillId="0" borderId="0" xfId="0" applyFont="1"/>
    <xf numFmtId="0" fontId="82" fillId="0" borderId="0" xfId="0" applyFont="1" applyFill="1" applyBorder="1"/>
    <xf numFmtId="0" fontId="80" fillId="0" borderId="0" xfId="0" applyFont="1" applyFill="1" applyAlignment="1"/>
    <xf numFmtId="14" fontId="17" fillId="0" borderId="0" xfId="0" applyNumberFormat="1" applyFont="1" applyFill="1" applyAlignment="1"/>
    <xf numFmtId="14" fontId="0" fillId="0" borderId="0" xfId="0" applyNumberFormat="1"/>
    <xf numFmtId="14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/>
    <xf numFmtId="44" fontId="111" fillId="0" borderId="0" xfId="0" applyNumberFormat="1" applyFont="1" applyFill="1" applyAlignment="1"/>
    <xf numFmtId="44" fontId="112" fillId="0" borderId="0" xfId="0" applyNumberFormat="1" applyFont="1" applyFill="1" applyAlignment="1"/>
    <xf numFmtId="0" fontId="0" fillId="0" borderId="10" xfId="0" applyBorder="1"/>
    <xf numFmtId="44" fontId="112" fillId="0" borderId="10" xfId="0" applyNumberFormat="1" applyFont="1" applyFill="1" applyBorder="1" applyAlignment="1"/>
    <xf numFmtId="0" fontId="112" fillId="0" borderId="0" xfId="0" applyFont="1" applyFill="1" applyAlignment="1"/>
    <xf numFmtId="0" fontId="17" fillId="0" borderId="0" xfId="0" applyFont="1" applyFill="1" applyAlignment="1"/>
    <xf numFmtId="43" fontId="4" fillId="0" borderId="0" xfId="0" applyNumberFormat="1" applyFont="1" applyFill="1" applyAlignment="1"/>
    <xf numFmtId="43" fontId="17" fillId="0" borderId="0" xfId="28" applyFont="1" applyFill="1" applyAlignment="1"/>
    <xf numFmtId="43" fontId="4" fillId="0" borderId="10" xfId="0" applyNumberFormat="1" applyFont="1" applyFill="1" applyBorder="1" applyAlignment="1"/>
    <xf numFmtId="43" fontId="4" fillId="0" borderId="0" xfId="0" applyNumberFormat="1" applyFont="1" applyFill="1" applyAlignment="1">
      <alignment horizontal="right"/>
    </xf>
    <xf numFmtId="43" fontId="17" fillId="0" borderId="0" xfId="0" applyNumberFormat="1" applyFont="1" applyFill="1" applyAlignment="1">
      <alignment horizontal="right"/>
    </xf>
    <xf numFmtId="43" fontId="17" fillId="0" borderId="10" xfId="0" applyNumberFormat="1" applyFont="1" applyFill="1" applyBorder="1" applyAlignment="1">
      <alignment horizontal="right"/>
    </xf>
    <xf numFmtId="167" fontId="22" fillId="0" borderId="83" xfId="142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10" fontId="21" fillId="0" borderId="17" xfId="142" applyNumberFormat="1" applyFont="1" applyFill="1" applyBorder="1"/>
    <xf numFmtId="10" fontId="21" fillId="0" borderId="0" xfId="142" applyNumberFormat="1" applyFont="1" applyFill="1" applyBorder="1"/>
    <xf numFmtId="165" fontId="21" fillId="0" borderId="15" xfId="28" applyNumberFormat="1" applyFont="1" applyFill="1" applyBorder="1"/>
    <xf numFmtId="2" fontId="17" fillId="0" borderId="38" xfId="142" applyNumberFormat="1" applyFont="1" applyFill="1" applyBorder="1" applyAlignment="1"/>
    <xf numFmtId="2" fontId="17" fillId="0" borderId="10" xfId="142" applyNumberFormat="1" applyFont="1" applyFill="1" applyBorder="1" applyAlignment="1">
      <alignment horizontal="center"/>
    </xf>
    <xf numFmtId="43" fontId="17" fillId="0" borderId="19" xfId="28" quotePrefix="1" applyNumberFormat="1" applyFont="1" applyFill="1" applyBorder="1" applyAlignment="1">
      <alignment horizontal="right"/>
    </xf>
    <xf numFmtId="164" fontId="17" fillId="0" borderId="19" xfId="28" quotePrefix="1" applyNumberFormat="1" applyFont="1" applyFill="1" applyBorder="1" applyAlignment="1">
      <alignment horizontal="right"/>
    </xf>
    <xf numFmtId="43" fontId="17" fillId="0" borderId="41" xfId="28" quotePrefix="1" applyNumberFormat="1" applyFont="1" applyFill="1" applyBorder="1" applyAlignment="1">
      <alignment horizontal="right"/>
    </xf>
    <xf numFmtId="43" fontId="18" fillId="0" borderId="20" xfId="28" applyNumberFormat="1" applyFont="1" applyFill="1" applyBorder="1" applyAlignment="1">
      <alignment horizontal="right"/>
    </xf>
    <xf numFmtId="10" fontId="17" fillId="0" borderId="20" xfId="142" applyNumberFormat="1" applyFont="1" applyFill="1" applyBorder="1" applyAlignment="1">
      <alignment horizontal="right"/>
    </xf>
    <xf numFmtId="164" fontId="18" fillId="0" borderId="20" xfId="28" applyNumberFormat="1" applyFont="1" applyFill="1" applyBorder="1" applyAlignment="1">
      <alignment horizontal="right"/>
    </xf>
    <xf numFmtId="43" fontId="18" fillId="0" borderId="40" xfId="28" applyNumberFormat="1" applyFont="1" applyFill="1" applyBorder="1" applyAlignment="1">
      <alignment horizontal="right"/>
    </xf>
    <xf numFmtId="10" fontId="17" fillId="0" borderId="29" xfId="142" applyNumberFormat="1" applyFont="1" applyFill="1" applyBorder="1" applyAlignment="1">
      <alignment horizontal="right"/>
    </xf>
    <xf numFmtId="10" fontId="40" fillId="0" borderId="19" xfId="142" applyNumberFormat="1" applyFont="1" applyFill="1" applyBorder="1" applyAlignment="1">
      <alignment horizontal="right"/>
    </xf>
    <xf numFmtId="41" fontId="18" fillId="0" borderId="35" xfId="28" applyNumberFormat="1" applyFont="1" applyFill="1" applyBorder="1" applyAlignment="1">
      <alignment horizontal="right"/>
    </xf>
    <xf numFmtId="10" fontId="18" fillId="0" borderId="20" xfId="142" applyNumberFormat="1" applyFont="1" applyFill="1" applyBorder="1" applyAlignment="1">
      <alignment horizontal="right"/>
    </xf>
    <xf numFmtId="41" fontId="17" fillId="0" borderId="19" xfId="28" applyNumberFormat="1" applyFont="1" applyFill="1" applyBorder="1" applyAlignment="1">
      <alignment horizontal="right"/>
    </xf>
    <xf numFmtId="43" fontId="17" fillId="0" borderId="36" xfId="28" applyFont="1" applyFill="1" applyBorder="1" applyAlignment="1">
      <alignment horizontal="right"/>
    </xf>
    <xf numFmtId="43" fontId="17" fillId="0" borderId="19" xfId="142" applyNumberFormat="1" applyFont="1" applyFill="1" applyBorder="1" applyAlignment="1">
      <alignment horizontal="right"/>
    </xf>
    <xf numFmtId="43" fontId="17" fillId="0" borderId="19" xfId="28" applyNumberFormat="1" applyFont="1" applyFill="1" applyBorder="1" applyAlignment="1">
      <alignment horizontal="right"/>
    </xf>
    <xf numFmtId="43" fontId="17" fillId="0" borderId="39" xfId="28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17" fillId="0" borderId="41" xfId="28" applyNumberFormat="1" applyFont="1" applyFill="1" applyBorder="1" applyAlignment="1">
      <alignment horizontal="right"/>
    </xf>
    <xf numFmtId="43" fontId="17" fillId="0" borderId="33" xfId="142" applyNumberFormat="1" applyFont="1" applyFill="1" applyBorder="1" applyAlignment="1">
      <alignment horizontal="right"/>
    </xf>
    <xf numFmtId="41" fontId="18" fillId="0" borderId="20" xfId="28" applyNumberFormat="1" applyFont="1" applyFill="1" applyBorder="1" applyAlignment="1">
      <alignment horizontal="right"/>
    </xf>
    <xf numFmtId="43" fontId="18" fillId="0" borderId="20" xfId="28" applyFont="1" applyFill="1" applyBorder="1" applyAlignment="1">
      <alignment horizontal="right"/>
    </xf>
    <xf numFmtId="43" fontId="18" fillId="0" borderId="20" xfId="142" applyNumberFormat="1" applyFont="1" applyFill="1" applyBorder="1" applyAlignment="1">
      <alignment horizontal="right"/>
    </xf>
    <xf numFmtId="43" fontId="18" fillId="0" borderId="38" xfId="142" applyNumberFormat="1" applyFont="1" applyFill="1" applyBorder="1" applyAlignment="1">
      <alignment horizontal="right"/>
    </xf>
    <xf numFmtId="2" fontId="17" fillId="58" borderId="22" xfId="142" applyNumberFormat="1" applyFont="1" applyFill="1" applyBorder="1" applyAlignment="1">
      <alignment horizontal="center"/>
    </xf>
    <xf numFmtId="10" fontId="17" fillId="0" borderId="19" xfId="142" applyNumberFormat="1" applyFont="1" applyFill="1" applyBorder="1" applyAlignment="1">
      <alignment horizontal="right"/>
    </xf>
    <xf numFmtId="10" fontId="17" fillId="0" borderId="19" xfId="28" applyNumberFormat="1" applyFont="1" applyFill="1" applyBorder="1" applyAlignment="1">
      <alignment horizontal="right"/>
    </xf>
    <xf numFmtId="43" fontId="17" fillId="0" borderId="19" xfId="28" applyFont="1" applyFill="1" applyBorder="1" applyAlignment="1">
      <alignment horizontal="right"/>
    </xf>
    <xf numFmtId="10" fontId="18" fillId="0" borderId="33" xfId="28" applyNumberFormat="1" applyFont="1" applyFill="1" applyBorder="1"/>
    <xf numFmtId="10" fontId="17" fillId="0" borderId="33" xfId="28" applyNumberFormat="1" applyFont="1" applyFill="1" applyBorder="1" applyAlignment="1">
      <alignment horizontal="center"/>
    </xf>
    <xf numFmtId="2" fontId="17" fillId="0" borderId="49" xfId="142" applyNumberFormat="1" applyFont="1" applyFill="1" applyBorder="1" applyAlignment="1"/>
    <xf numFmtId="2" fontId="17" fillId="0" borderId="22" xfId="142" applyNumberFormat="1" applyFont="1" applyFill="1" applyBorder="1" applyAlignment="1">
      <alignment horizontal="center"/>
    </xf>
    <xf numFmtId="2" fontId="17" fillId="0" borderId="33" xfId="142" applyNumberFormat="1" applyFont="1" applyFill="1" applyBorder="1" applyAlignment="1"/>
    <xf numFmtId="2" fontId="17" fillId="0" borderId="0" xfId="142" applyNumberFormat="1" applyFont="1" applyFill="1" applyBorder="1" applyAlignment="1">
      <alignment horizontal="center"/>
    </xf>
    <xf numFmtId="2" fontId="18" fillId="58" borderId="17" xfId="142" applyNumberFormat="1" applyFont="1" applyFill="1" applyBorder="1" applyAlignment="1">
      <alignment horizontal="center"/>
    </xf>
    <xf numFmtId="37" fontId="17" fillId="0" borderId="37" xfId="28" applyNumberFormat="1" applyFont="1" applyFill="1" applyBorder="1" applyAlignment="1">
      <alignment horizontal="right"/>
    </xf>
    <xf numFmtId="167" fontId="22" fillId="0" borderId="49" xfId="142" applyNumberFormat="1" applyFont="1" applyFill="1" applyBorder="1" applyAlignment="1">
      <alignment horizontal="center"/>
    </xf>
    <xf numFmtId="0" fontId="0" fillId="0" borderId="0" xfId="0" applyFill="1"/>
    <xf numFmtId="0" fontId="17" fillId="0" borderId="0" xfId="1766" applyFont="1" applyFill="1"/>
    <xf numFmtId="0" fontId="18" fillId="0" borderId="4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18" fillId="0" borderId="6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40" fillId="0" borderId="38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1" fillId="0" borderId="16" xfId="159" applyFont="1" applyFill="1" applyBorder="1" applyAlignment="1">
      <alignment horizontal="left" vertical="top" wrapText="1"/>
    </xf>
    <xf numFmtId="0" fontId="21" fillId="0" borderId="17" xfId="159" applyFont="1" applyFill="1" applyBorder="1" applyAlignment="1">
      <alignment horizontal="left" vertical="top" wrapText="1"/>
    </xf>
    <xf numFmtId="0" fontId="21" fillId="0" borderId="18" xfId="159" applyFont="1" applyFill="1" applyBorder="1" applyAlignment="1">
      <alignment horizontal="left" vertical="top" wrapText="1"/>
    </xf>
  </cellXfs>
  <cellStyles count="51259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2" xfId="644"/>
    <cellStyle name="Comma 3 2 2 2 10" xfId="25691"/>
    <cellStyle name="Comma 3 2 2 2 10 2" xfId="51160"/>
    <cellStyle name="Comma 3 2 2 2 11" xfId="26190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2" xfId="684"/>
    <cellStyle name="Comma 3 3 2 2 10" xfId="25731"/>
    <cellStyle name="Comma 3 3 2 2 10 2" xfId="51200"/>
    <cellStyle name="Comma 3 3 2 2 11" xfId="26230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2" xfId="604"/>
    <cellStyle name="Comma 3 4 2 10" xfId="25651"/>
    <cellStyle name="Comma 3 4 2 10 2" xfId="51120"/>
    <cellStyle name="Comma 3 4 2 11" xfId="26150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2" xfId="645"/>
    <cellStyle name="Currency 3 2 2 2 10" xfId="25692"/>
    <cellStyle name="Currency 3 2 2 2 10 2" xfId="51161"/>
    <cellStyle name="Currency 3 2 2 2 11" xfId="26191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2" xfId="685"/>
    <cellStyle name="Currency 3 3 2 2 10" xfId="25732"/>
    <cellStyle name="Currency 3 3 2 2 10 2" xfId="51201"/>
    <cellStyle name="Currency 3 3 2 2 11" xfId="26231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2" xfId="605"/>
    <cellStyle name="Currency 3 4 2 10" xfId="25652"/>
    <cellStyle name="Currency 3 4 2 10 2" xfId="51121"/>
    <cellStyle name="Currency 3 4 2 11" xfId="26151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2" xfId="646"/>
    <cellStyle name="Normal 10 2 2 2 2 10" xfId="25693"/>
    <cellStyle name="Normal 10 2 2 2 2 10 2" xfId="51162"/>
    <cellStyle name="Normal 10 2 2 2 2 11" xfId="26192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2" xfId="606"/>
    <cellStyle name="Normal 10 2 4 2 10" xfId="25653"/>
    <cellStyle name="Normal 10 2 4 2 10 2" xfId="51122"/>
    <cellStyle name="Normal 10 2 4 2 11" xfId="26152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2" xfId="686"/>
    <cellStyle name="Normal 10 4 2 2 10" xfId="25733"/>
    <cellStyle name="Normal 10 4 2 2 10 2" xfId="51202"/>
    <cellStyle name="Normal 10 4 2 2 11" xfId="26232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2" xfId="647"/>
    <cellStyle name="Normal 11 2 2 2 2 10" xfId="25694"/>
    <cellStyle name="Normal 11 2 2 2 2 10 2" xfId="51163"/>
    <cellStyle name="Normal 11 2 2 2 2 11" xfId="26193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2" xfId="607"/>
    <cellStyle name="Normal 11 2 4 2 10" xfId="25654"/>
    <cellStyle name="Normal 11 2 4 2 10 2" xfId="51123"/>
    <cellStyle name="Normal 11 2 4 2 11" xfId="26153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2" xfId="687"/>
    <cellStyle name="Normal 11 4 2 2 10" xfId="25734"/>
    <cellStyle name="Normal 11 4 2 2 10 2" xfId="51203"/>
    <cellStyle name="Normal 11 4 2 2 11" xfId="26233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2" xfId="648"/>
    <cellStyle name="Normal 12 2 2 2 2 10" xfId="25695"/>
    <cellStyle name="Normal 12 2 2 2 2 10 2" xfId="51164"/>
    <cellStyle name="Normal 12 2 2 2 2 11" xfId="26194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2" xfId="608"/>
    <cellStyle name="Normal 12 2 4 2 10" xfId="25655"/>
    <cellStyle name="Normal 12 2 4 2 10 2" xfId="51124"/>
    <cellStyle name="Normal 12 2 4 2 11" xfId="26154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2" xfId="688"/>
    <cellStyle name="Normal 12 4 2 2 10" xfId="25735"/>
    <cellStyle name="Normal 12 4 2 2 10 2" xfId="51204"/>
    <cellStyle name="Normal 12 4 2 2 11" xfId="26234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2" xfId="649"/>
    <cellStyle name="Normal 13 4 2 2 10" xfId="25696"/>
    <cellStyle name="Normal 13 4 2 2 10 2" xfId="51165"/>
    <cellStyle name="Normal 13 4 2 2 11" xfId="26195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2" xfId="689"/>
    <cellStyle name="Normal 13 5 2 2 10" xfId="25736"/>
    <cellStyle name="Normal 13 5 2 2 10 2" xfId="51205"/>
    <cellStyle name="Normal 13 5 2 2 11" xfId="26235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2" xfId="609"/>
    <cellStyle name="Normal 13 6 2 10" xfId="25656"/>
    <cellStyle name="Normal 13 6 2 10 2" xfId="51125"/>
    <cellStyle name="Normal 13 6 2 11" xfId="26155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2" xfId="650"/>
    <cellStyle name="Normal 14 4 2 2 10" xfId="25697"/>
    <cellStyle name="Normal 14 4 2 2 10 2" xfId="51166"/>
    <cellStyle name="Normal 14 4 2 2 11" xfId="26196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2" xfId="690"/>
    <cellStyle name="Normal 14 5 2 2 10" xfId="25737"/>
    <cellStyle name="Normal 14 5 2 2 10 2" xfId="51206"/>
    <cellStyle name="Normal 14 5 2 2 11" xfId="26236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2" xfId="610"/>
    <cellStyle name="Normal 14 6 2 10" xfId="25657"/>
    <cellStyle name="Normal 14 6 2 10 2" xfId="51126"/>
    <cellStyle name="Normal 14 6 2 11" xfId="26156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2" xfId="651"/>
    <cellStyle name="Normal 15 4 2 2 10" xfId="25698"/>
    <cellStyle name="Normal 15 4 2 2 10 2" xfId="51167"/>
    <cellStyle name="Normal 15 4 2 2 11" xfId="26197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2" xfId="691"/>
    <cellStyle name="Normal 15 5 2 2 10" xfId="25738"/>
    <cellStyle name="Normal 15 5 2 2 10 2" xfId="51207"/>
    <cellStyle name="Normal 15 5 2 2 11" xfId="26237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2" xfId="611"/>
    <cellStyle name="Normal 15 6 2 10" xfId="25658"/>
    <cellStyle name="Normal 15 6 2 10 2" xfId="51127"/>
    <cellStyle name="Normal 15 6 2 11" xfId="26157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2" xfId="652"/>
    <cellStyle name="Normal 16 3 2 2 10" xfId="25699"/>
    <cellStyle name="Normal 16 3 2 2 10 2" xfId="51168"/>
    <cellStyle name="Normal 16 3 2 2 11" xfId="26198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2" xfId="692"/>
    <cellStyle name="Normal 16 4 2 2 10" xfId="25739"/>
    <cellStyle name="Normal 16 4 2 2 10 2" xfId="51208"/>
    <cellStyle name="Normal 16 4 2 2 11" xfId="26238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2" xfId="612"/>
    <cellStyle name="Normal 16 5 2 10" xfId="25659"/>
    <cellStyle name="Normal 16 5 2 10 2" xfId="51128"/>
    <cellStyle name="Normal 16 5 2 11" xfId="26158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2" xfId="653"/>
    <cellStyle name="Normal 17 4 2 2 10" xfId="25700"/>
    <cellStyle name="Normal 17 4 2 2 10 2" xfId="51169"/>
    <cellStyle name="Normal 17 4 2 2 11" xfId="26199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2" xfId="693"/>
    <cellStyle name="Normal 17 5 2 2 10" xfId="25740"/>
    <cellStyle name="Normal 17 5 2 2 10 2" xfId="51209"/>
    <cellStyle name="Normal 17 5 2 2 11" xfId="26239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2" xfId="613"/>
    <cellStyle name="Normal 17 6 2 10" xfId="25660"/>
    <cellStyle name="Normal 17 6 2 10 2" xfId="51129"/>
    <cellStyle name="Normal 17 6 2 11" xfId="26159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2" xfId="654"/>
    <cellStyle name="Normal 18 4 2 2 10" xfId="25701"/>
    <cellStyle name="Normal 18 4 2 2 10 2" xfId="51170"/>
    <cellStyle name="Normal 18 4 2 2 11" xfId="26200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2" xfId="694"/>
    <cellStyle name="Normal 18 5 2 2 10" xfId="25741"/>
    <cellStyle name="Normal 18 5 2 2 10 2" xfId="51210"/>
    <cellStyle name="Normal 18 5 2 2 11" xfId="26240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2" xfId="614"/>
    <cellStyle name="Normal 18 6 2 10" xfId="25661"/>
    <cellStyle name="Normal 18 6 2 10 2" xfId="51130"/>
    <cellStyle name="Normal 18 6 2 11" xfId="26160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2" xfId="655"/>
    <cellStyle name="Normal 19 4 2 2 10" xfId="25702"/>
    <cellStyle name="Normal 19 4 2 2 10 2" xfId="51171"/>
    <cellStyle name="Normal 19 4 2 2 11" xfId="26201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2" xfId="695"/>
    <cellStyle name="Normal 19 5 2 2 10" xfId="25742"/>
    <cellStyle name="Normal 19 5 2 2 10 2" xfId="51211"/>
    <cellStyle name="Normal 19 5 2 2 11" xfId="26241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2" xfId="615"/>
    <cellStyle name="Normal 19 6 2 10" xfId="25662"/>
    <cellStyle name="Normal 19 6 2 10 2" xfId="51131"/>
    <cellStyle name="Normal 19 6 2 11" xfId="26161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2" xfId="656"/>
    <cellStyle name="Normal 20 4 2 2 10" xfId="25703"/>
    <cellStyle name="Normal 20 4 2 2 10 2" xfId="51172"/>
    <cellStyle name="Normal 20 4 2 2 11" xfId="26202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2" xfId="696"/>
    <cellStyle name="Normal 20 5 2 2 10" xfId="25743"/>
    <cellStyle name="Normal 20 5 2 2 10 2" xfId="51212"/>
    <cellStyle name="Normal 20 5 2 2 11" xfId="26242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2" xfId="616"/>
    <cellStyle name="Normal 20 6 2 10" xfId="25663"/>
    <cellStyle name="Normal 20 6 2 10 2" xfId="51132"/>
    <cellStyle name="Normal 20 6 2 11" xfId="26162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2" xfId="657"/>
    <cellStyle name="Normal 21 4 2 2 10" xfId="25704"/>
    <cellStyle name="Normal 21 4 2 2 10 2" xfId="51173"/>
    <cellStyle name="Normal 21 4 2 2 11" xfId="26203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2" xfId="697"/>
    <cellStyle name="Normal 21 5 2 2 10" xfId="25744"/>
    <cellStyle name="Normal 21 5 2 2 10 2" xfId="51213"/>
    <cellStyle name="Normal 21 5 2 2 11" xfId="26243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2" xfId="617"/>
    <cellStyle name="Normal 21 6 2 10" xfId="25664"/>
    <cellStyle name="Normal 21 6 2 10 2" xfId="51133"/>
    <cellStyle name="Normal 21 6 2 11" xfId="26163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2" xfId="658"/>
    <cellStyle name="Normal 22 4 2 2 10" xfId="25705"/>
    <cellStyle name="Normal 22 4 2 2 10 2" xfId="51174"/>
    <cellStyle name="Normal 22 4 2 2 11" xfId="26204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2" xfId="698"/>
    <cellStyle name="Normal 22 5 2 2 10" xfId="25745"/>
    <cellStyle name="Normal 22 5 2 2 10 2" xfId="51214"/>
    <cellStyle name="Normal 22 5 2 2 11" xfId="26244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2" xfId="618"/>
    <cellStyle name="Normal 22 6 2 10" xfId="25665"/>
    <cellStyle name="Normal 22 6 2 10 2" xfId="51134"/>
    <cellStyle name="Normal 22 6 2 11" xfId="26164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2" xfId="659"/>
    <cellStyle name="Normal 23 4 2 2 10" xfId="25706"/>
    <cellStyle name="Normal 23 4 2 2 10 2" xfId="51175"/>
    <cellStyle name="Normal 23 4 2 2 11" xfId="26205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2" xfId="699"/>
    <cellStyle name="Normal 23 5 2 2 10" xfId="25746"/>
    <cellStyle name="Normal 23 5 2 2 10 2" xfId="51215"/>
    <cellStyle name="Normal 23 5 2 2 11" xfId="26245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2" xfId="619"/>
    <cellStyle name="Normal 23 6 2 10" xfId="25666"/>
    <cellStyle name="Normal 23 6 2 10 2" xfId="51135"/>
    <cellStyle name="Normal 23 6 2 11" xfId="26165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2" xfId="660"/>
    <cellStyle name="Normal 28 4 2 2 10" xfId="25707"/>
    <cellStyle name="Normal 28 4 2 2 10 2" xfId="51176"/>
    <cellStyle name="Normal 28 4 2 2 11" xfId="26206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2" xfId="700"/>
    <cellStyle name="Normal 28 5 2 2 10" xfId="25747"/>
    <cellStyle name="Normal 28 5 2 2 10 2" xfId="51216"/>
    <cellStyle name="Normal 28 5 2 2 11" xfId="26246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2" xfId="620"/>
    <cellStyle name="Normal 28 6 2 10" xfId="25667"/>
    <cellStyle name="Normal 28 6 2 10 2" xfId="51136"/>
    <cellStyle name="Normal 28 6 2 11" xfId="26166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2" xfId="661"/>
    <cellStyle name="Normal 29 4 2 2 10" xfId="25708"/>
    <cellStyle name="Normal 29 4 2 2 10 2" xfId="51177"/>
    <cellStyle name="Normal 29 4 2 2 11" xfId="26207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2" xfId="701"/>
    <cellStyle name="Normal 29 5 2 2 10" xfId="25748"/>
    <cellStyle name="Normal 29 5 2 2 10 2" xfId="51217"/>
    <cellStyle name="Normal 29 5 2 2 11" xfId="26247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2" xfId="621"/>
    <cellStyle name="Normal 29 6 2 10" xfId="25668"/>
    <cellStyle name="Normal 29 6 2 10 2" xfId="51137"/>
    <cellStyle name="Normal 29 6 2 11" xfId="26167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2" xfId="662"/>
    <cellStyle name="Normal 3 4 2 2 10" xfId="25709"/>
    <cellStyle name="Normal 3 4 2 2 10 2" xfId="51178"/>
    <cellStyle name="Normal 3 4 2 2 11" xfId="26208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2" xfId="702"/>
    <cellStyle name="Normal 3 5 2 2 10" xfId="25749"/>
    <cellStyle name="Normal 3 5 2 2 10 2" xfId="51218"/>
    <cellStyle name="Normal 3 5 2 2 11" xfId="26248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2" xfId="622"/>
    <cellStyle name="Normal 3 6 2 10" xfId="25669"/>
    <cellStyle name="Normal 3 6 2 10 2" xfId="51138"/>
    <cellStyle name="Normal 3 6 2 11" xfId="26168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2" xfId="663"/>
    <cellStyle name="Normal 30 4 2 2 10" xfId="25710"/>
    <cellStyle name="Normal 30 4 2 2 10 2" xfId="51179"/>
    <cellStyle name="Normal 30 4 2 2 11" xfId="26209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2" xfId="703"/>
    <cellStyle name="Normal 30 5 2 2 10" xfId="25750"/>
    <cellStyle name="Normal 30 5 2 2 10 2" xfId="51219"/>
    <cellStyle name="Normal 30 5 2 2 11" xfId="26249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2" xfId="623"/>
    <cellStyle name="Normal 30 6 2 10" xfId="25670"/>
    <cellStyle name="Normal 30 6 2 10 2" xfId="51139"/>
    <cellStyle name="Normal 30 6 2 11" xfId="26169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2" xfId="664"/>
    <cellStyle name="Normal 31 4 2 2 10" xfId="25711"/>
    <cellStyle name="Normal 31 4 2 2 10 2" xfId="51180"/>
    <cellStyle name="Normal 31 4 2 2 11" xfId="26210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2" xfId="704"/>
    <cellStyle name="Normal 31 5 2 2 10" xfId="25751"/>
    <cellStyle name="Normal 31 5 2 2 10 2" xfId="51220"/>
    <cellStyle name="Normal 31 5 2 2 11" xfId="26250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2" xfId="624"/>
    <cellStyle name="Normal 31 6 2 10" xfId="25671"/>
    <cellStyle name="Normal 31 6 2 10 2" xfId="51140"/>
    <cellStyle name="Normal 31 6 2 11" xfId="26170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2" xfId="665"/>
    <cellStyle name="Normal 32 2 2 2 10" xfId="25712"/>
    <cellStyle name="Normal 32 2 2 2 10 2" xfId="51181"/>
    <cellStyle name="Normal 32 2 2 2 11" xfId="26211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2" xfId="705"/>
    <cellStyle name="Normal 32 3 2 2 10" xfId="25752"/>
    <cellStyle name="Normal 32 3 2 2 10 2" xfId="51221"/>
    <cellStyle name="Normal 32 3 2 2 11" xfId="26251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2" xfId="625"/>
    <cellStyle name="Normal 32 4 2 10" xfId="25672"/>
    <cellStyle name="Normal 32 4 2 10 2" xfId="51141"/>
    <cellStyle name="Normal 32 4 2 11" xfId="26171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2" xfId="666"/>
    <cellStyle name="Normal 33 2 2 2 10" xfId="25713"/>
    <cellStyle name="Normal 33 2 2 2 10 2" xfId="51182"/>
    <cellStyle name="Normal 33 2 2 2 11" xfId="26212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2" xfId="706"/>
    <cellStyle name="Normal 33 3 2 2 10" xfId="25753"/>
    <cellStyle name="Normal 33 3 2 2 10 2" xfId="51222"/>
    <cellStyle name="Normal 33 3 2 2 11" xfId="26252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2" xfId="626"/>
    <cellStyle name="Normal 33 4 2 10" xfId="25673"/>
    <cellStyle name="Normal 33 4 2 10 2" xfId="51142"/>
    <cellStyle name="Normal 33 4 2 11" xfId="26172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2" xfId="667"/>
    <cellStyle name="Normal 34 2 2 2 10" xfId="25714"/>
    <cellStyle name="Normal 34 2 2 2 10 2" xfId="51183"/>
    <cellStyle name="Normal 34 2 2 2 11" xfId="26213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2" xfId="707"/>
    <cellStyle name="Normal 34 3 2 2 10" xfId="25754"/>
    <cellStyle name="Normal 34 3 2 2 10 2" xfId="51223"/>
    <cellStyle name="Normal 34 3 2 2 11" xfId="26253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2" xfId="627"/>
    <cellStyle name="Normal 34 4 2 10" xfId="25674"/>
    <cellStyle name="Normal 34 4 2 10 2" xfId="51143"/>
    <cellStyle name="Normal 34 4 2 11" xfId="26173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2" xfId="668"/>
    <cellStyle name="Normal 35 2 2 2 10" xfId="25715"/>
    <cellStyle name="Normal 35 2 2 2 10 2" xfId="51184"/>
    <cellStyle name="Normal 35 2 2 2 11" xfId="26214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2" xfId="708"/>
    <cellStyle name="Normal 35 3 2 2 10" xfId="25755"/>
    <cellStyle name="Normal 35 3 2 2 10 2" xfId="51224"/>
    <cellStyle name="Normal 35 3 2 2 11" xfId="26254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2" xfId="628"/>
    <cellStyle name="Normal 35 4 2 10" xfId="25675"/>
    <cellStyle name="Normal 35 4 2 10 2" xfId="51144"/>
    <cellStyle name="Normal 35 4 2 11" xfId="26174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2" xfId="669"/>
    <cellStyle name="Normal 36 2 2 2 10" xfId="25716"/>
    <cellStyle name="Normal 36 2 2 2 10 2" xfId="51185"/>
    <cellStyle name="Normal 36 2 2 2 11" xfId="26215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2" xfId="709"/>
    <cellStyle name="Normal 36 3 2 2 10" xfId="25756"/>
    <cellStyle name="Normal 36 3 2 2 10 2" xfId="51225"/>
    <cellStyle name="Normal 36 3 2 2 11" xfId="26255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2" xfId="629"/>
    <cellStyle name="Normal 36 4 2 10" xfId="25676"/>
    <cellStyle name="Normal 36 4 2 10 2" xfId="51145"/>
    <cellStyle name="Normal 36 4 2 11" xfId="26175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2" xfId="670"/>
    <cellStyle name="Normal 37 2 2 2 10" xfId="25717"/>
    <cellStyle name="Normal 37 2 2 2 10 2" xfId="51186"/>
    <cellStyle name="Normal 37 2 2 2 11" xfId="26216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2" xfId="710"/>
    <cellStyle name="Normal 37 3 2 2 10" xfId="25757"/>
    <cellStyle name="Normal 37 3 2 2 10 2" xfId="51226"/>
    <cellStyle name="Normal 37 3 2 2 11" xfId="26256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2" xfId="630"/>
    <cellStyle name="Normal 37 4 2 10" xfId="25677"/>
    <cellStyle name="Normal 37 4 2 10 2" xfId="51146"/>
    <cellStyle name="Normal 37 4 2 11" xfId="26176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2" xfId="671"/>
    <cellStyle name="Normal 38 2 2 2 10" xfId="25718"/>
    <cellStyle name="Normal 38 2 2 2 10 2" xfId="51187"/>
    <cellStyle name="Normal 38 2 2 2 11" xfId="26217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2" xfId="711"/>
    <cellStyle name="Normal 38 3 2 2 10" xfId="25758"/>
    <cellStyle name="Normal 38 3 2 2 10 2" xfId="51227"/>
    <cellStyle name="Normal 38 3 2 2 11" xfId="26257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2" xfId="631"/>
    <cellStyle name="Normal 38 4 2 10" xfId="25678"/>
    <cellStyle name="Normal 38 4 2 10 2" xfId="51147"/>
    <cellStyle name="Normal 38 4 2 11" xfId="26177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2" xfId="672"/>
    <cellStyle name="Normal 39 2 2 2 10" xfId="25719"/>
    <cellStyle name="Normal 39 2 2 2 10 2" xfId="51188"/>
    <cellStyle name="Normal 39 2 2 2 11" xfId="26218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2" xfId="712"/>
    <cellStyle name="Normal 39 3 2 2 10" xfId="25759"/>
    <cellStyle name="Normal 39 3 2 2 10 2" xfId="51228"/>
    <cellStyle name="Normal 39 3 2 2 11" xfId="26258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2" xfId="632"/>
    <cellStyle name="Normal 39 4 2 10" xfId="25679"/>
    <cellStyle name="Normal 39 4 2 10 2" xfId="51148"/>
    <cellStyle name="Normal 39 4 2 11" xfId="26178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2" xfId="673"/>
    <cellStyle name="Normal 4 3 2 2 2 10" xfId="25720"/>
    <cellStyle name="Normal 4 3 2 2 2 10 2" xfId="51189"/>
    <cellStyle name="Normal 4 3 2 2 2 11" xfId="26219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2" xfId="633"/>
    <cellStyle name="Normal 4 3 3 2 10" xfId="25680"/>
    <cellStyle name="Normal 4 3 3 2 10 2" xfId="51149"/>
    <cellStyle name="Normal 4 3 3 2 11" xfId="26179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2" xfId="713"/>
    <cellStyle name="Normal 4 5 2 2 10" xfId="25760"/>
    <cellStyle name="Normal 4 5 2 2 10 2" xfId="51229"/>
    <cellStyle name="Normal 4 5 2 2 11" xfId="26259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2" xfId="674"/>
    <cellStyle name="Normal 40 2 2 2 10" xfId="25721"/>
    <cellStyle name="Normal 40 2 2 2 10 2" xfId="51190"/>
    <cellStyle name="Normal 40 2 2 2 11" xfId="26220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2" xfId="714"/>
    <cellStyle name="Normal 40 3 2 2 10" xfId="25761"/>
    <cellStyle name="Normal 40 3 2 2 10 2" xfId="51230"/>
    <cellStyle name="Normal 40 3 2 2 11" xfId="26260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2" xfId="634"/>
    <cellStyle name="Normal 40 4 2 10" xfId="25681"/>
    <cellStyle name="Normal 40 4 2 10 2" xfId="51150"/>
    <cellStyle name="Normal 40 4 2 11" xfId="26180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2" xfId="675"/>
    <cellStyle name="Normal 41 2 2 2 10" xfId="25722"/>
    <cellStyle name="Normal 41 2 2 2 10 2" xfId="51191"/>
    <cellStyle name="Normal 41 2 2 2 11" xfId="26221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2" xfId="715"/>
    <cellStyle name="Normal 41 3 2 2 10" xfId="25762"/>
    <cellStyle name="Normal 41 3 2 2 10 2" xfId="51231"/>
    <cellStyle name="Normal 41 3 2 2 11" xfId="26261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2" xfId="635"/>
    <cellStyle name="Normal 41 4 2 10" xfId="25682"/>
    <cellStyle name="Normal 41 4 2 10 2" xfId="51151"/>
    <cellStyle name="Normal 41 4 2 11" xfId="26181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2" xfId="676"/>
    <cellStyle name="Normal 42 2 2 2 10" xfId="25723"/>
    <cellStyle name="Normal 42 2 2 2 10 2" xfId="51192"/>
    <cellStyle name="Normal 42 2 2 2 11" xfId="26222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2" xfId="716"/>
    <cellStyle name="Normal 42 3 2 2 10" xfId="25763"/>
    <cellStyle name="Normal 42 3 2 2 10 2" xfId="51232"/>
    <cellStyle name="Normal 42 3 2 2 11" xfId="26262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2" xfId="636"/>
    <cellStyle name="Normal 42 4 2 10" xfId="25683"/>
    <cellStyle name="Normal 42 4 2 10 2" xfId="51152"/>
    <cellStyle name="Normal 42 4 2 11" xfId="26182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2" xfId="677"/>
    <cellStyle name="Normal 43 2 2 2 10" xfId="25724"/>
    <cellStyle name="Normal 43 2 2 2 10 2" xfId="51193"/>
    <cellStyle name="Normal 43 2 2 2 11" xfId="26223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2" xfId="717"/>
    <cellStyle name="Normal 43 3 2 2 10" xfId="25764"/>
    <cellStyle name="Normal 43 3 2 2 10 2" xfId="51233"/>
    <cellStyle name="Normal 43 3 2 2 11" xfId="26263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2" xfId="637"/>
    <cellStyle name="Normal 43 4 2 10" xfId="25684"/>
    <cellStyle name="Normal 43 4 2 10 2" xfId="51153"/>
    <cellStyle name="Normal 43 4 2 11" xfId="26183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2" xfId="678"/>
    <cellStyle name="Normal 44 2 2 2 10" xfId="25725"/>
    <cellStyle name="Normal 44 2 2 2 10 2" xfId="51194"/>
    <cellStyle name="Normal 44 2 2 2 11" xfId="26224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2" xfId="718"/>
    <cellStyle name="Normal 44 3 2 2 10" xfId="25765"/>
    <cellStyle name="Normal 44 3 2 2 10 2" xfId="51234"/>
    <cellStyle name="Normal 44 3 2 2 11" xfId="26264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2" xfId="638"/>
    <cellStyle name="Normal 44 4 2 10" xfId="25685"/>
    <cellStyle name="Normal 44 4 2 10 2" xfId="51154"/>
    <cellStyle name="Normal 44 4 2 11" xfId="26184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2" xfId="679"/>
    <cellStyle name="Normal 5 3 2 2 2 10" xfId="25726"/>
    <cellStyle name="Normal 5 3 2 2 2 10 2" xfId="51195"/>
    <cellStyle name="Normal 5 3 2 2 2 11" xfId="26225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2" xfId="639"/>
    <cellStyle name="Normal 5 3 3 2 10" xfId="25686"/>
    <cellStyle name="Normal 5 3 3 2 10 2" xfId="51155"/>
    <cellStyle name="Normal 5 3 3 2 11" xfId="26185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2" xfId="719"/>
    <cellStyle name="Normal 5 5 2 2 10" xfId="25766"/>
    <cellStyle name="Normal 5 5 2 2 10 2" xfId="51235"/>
    <cellStyle name="Normal 5 5 2 2 11" xfId="26265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2" xfId="680"/>
    <cellStyle name="Normal 6 3 2 2 2 10" xfId="25727"/>
    <cellStyle name="Normal 6 3 2 2 2 10 2" xfId="51196"/>
    <cellStyle name="Normal 6 3 2 2 2 11" xfId="26226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2" xfId="640"/>
    <cellStyle name="Normal 6 3 3 2 10" xfId="25687"/>
    <cellStyle name="Normal 6 3 3 2 10 2" xfId="51156"/>
    <cellStyle name="Normal 6 3 3 2 11" xfId="26186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2" xfId="720"/>
    <cellStyle name="Normal 6 5 2 2 10" xfId="25767"/>
    <cellStyle name="Normal 6 5 2 2 10 2" xfId="51236"/>
    <cellStyle name="Normal 6 5 2 2 11" xfId="26266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2" xfId="681"/>
    <cellStyle name="Normal 7 3 2 2 2 10" xfId="25728"/>
    <cellStyle name="Normal 7 3 2 2 2 10 2" xfId="51197"/>
    <cellStyle name="Normal 7 3 2 2 2 11" xfId="26227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2" xfId="641"/>
    <cellStyle name="Normal 7 3 3 2 10" xfId="25688"/>
    <cellStyle name="Normal 7 3 3 2 10 2" xfId="51157"/>
    <cellStyle name="Normal 7 3 3 2 11" xfId="26187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2" xfId="721"/>
    <cellStyle name="Normal 7 5 2 2 10" xfId="25768"/>
    <cellStyle name="Normal 7 5 2 2 10 2" xfId="51237"/>
    <cellStyle name="Normal 7 5 2 2 11" xfId="26267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2" xfId="682"/>
    <cellStyle name="Normal 8 3 2 2 2 10" xfId="25729"/>
    <cellStyle name="Normal 8 3 2 2 2 10 2" xfId="51198"/>
    <cellStyle name="Normal 8 3 2 2 2 11" xfId="26228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2" xfId="642"/>
    <cellStyle name="Normal 8 3 3 2 10" xfId="25689"/>
    <cellStyle name="Normal 8 3 3 2 10 2" xfId="51158"/>
    <cellStyle name="Normal 8 3 3 2 11" xfId="26188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2" xfId="722"/>
    <cellStyle name="Normal 8 5 2 2 10" xfId="25769"/>
    <cellStyle name="Normal 8 5 2 2 10 2" xfId="51238"/>
    <cellStyle name="Normal 8 5 2 2 11" xfId="26268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2" xfId="683"/>
    <cellStyle name="Normal 9 3 2 2 2 10" xfId="25730"/>
    <cellStyle name="Normal 9 3 2 2 2 10 2" xfId="51199"/>
    <cellStyle name="Normal 9 3 2 2 2 11" xfId="26229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2" xfId="643"/>
    <cellStyle name="Normal 9 3 3 2 10" xfId="25690"/>
    <cellStyle name="Normal 9 3 3 2 10 2" xfId="51159"/>
    <cellStyle name="Normal 9 3 3 2 11" xfId="26189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2" xfId="723"/>
    <cellStyle name="Normal 9 5 2 2 10" xfId="25770"/>
    <cellStyle name="Normal 9 5 2 2 10 2" xfId="51239"/>
    <cellStyle name="Normal 9 5 2 2 11" xfId="26269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5" sqref="K5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18" t="s">
        <v>0</v>
      </c>
      <c r="C4" s="519"/>
      <c r="D4" s="211" t="s">
        <v>176</v>
      </c>
      <c r="E4" s="211"/>
      <c r="F4" s="211"/>
      <c r="G4" s="212"/>
      <c r="I4" s="509"/>
      <c r="J4" s="509"/>
    </row>
    <row r="5" spans="1:15" x14ac:dyDescent="0.2">
      <c r="B5" s="516" t="s">
        <v>1</v>
      </c>
      <c r="C5" s="517"/>
      <c r="D5" s="213" t="s">
        <v>234</v>
      </c>
      <c r="E5" s="213"/>
      <c r="F5" s="213"/>
      <c r="G5" s="214"/>
      <c r="I5" s="509"/>
      <c r="J5" s="509"/>
      <c r="L5" s="515"/>
      <c r="M5" s="515"/>
    </row>
    <row r="6" spans="1:15" x14ac:dyDescent="0.2">
      <c r="B6" s="516" t="s">
        <v>2</v>
      </c>
      <c r="C6" s="517"/>
      <c r="D6" s="220">
        <v>42485</v>
      </c>
      <c r="E6" s="213"/>
      <c r="F6" s="213"/>
      <c r="G6" s="214"/>
      <c r="I6" s="509"/>
      <c r="J6" s="509"/>
      <c r="L6" s="515"/>
      <c r="M6" s="515"/>
    </row>
    <row r="7" spans="1:15" x14ac:dyDescent="0.2">
      <c r="B7" s="516" t="s">
        <v>7</v>
      </c>
      <c r="C7" s="517"/>
      <c r="D7" s="220">
        <v>42460</v>
      </c>
      <c r="E7" s="215"/>
      <c r="F7" s="215"/>
      <c r="G7" s="216"/>
      <c r="I7" s="370" t="s">
        <v>231</v>
      </c>
      <c r="J7" s="60"/>
      <c r="L7" s="515"/>
      <c r="M7" s="515"/>
    </row>
    <row r="8" spans="1:15" x14ac:dyDescent="0.2">
      <c r="B8" s="516" t="s">
        <v>3</v>
      </c>
      <c r="C8" s="517"/>
      <c r="D8" s="213" t="s">
        <v>225</v>
      </c>
      <c r="E8" s="213"/>
      <c r="F8" s="213"/>
      <c r="G8" s="214"/>
      <c r="I8" s="60"/>
      <c r="J8" s="60"/>
    </row>
    <row r="9" spans="1:15" x14ac:dyDescent="0.2">
      <c r="B9" s="516" t="s">
        <v>4</v>
      </c>
      <c r="C9" s="517"/>
      <c r="D9" s="213" t="s">
        <v>226</v>
      </c>
      <c r="E9" s="213"/>
      <c r="F9" s="213"/>
      <c r="G9" s="214"/>
      <c r="I9" s="60"/>
      <c r="J9" s="60"/>
    </row>
    <row r="10" spans="1:15" x14ac:dyDescent="0.2">
      <c r="B10" s="139" t="s">
        <v>68</v>
      </c>
      <c r="C10" s="140"/>
      <c r="D10" s="335" t="s">
        <v>230</v>
      </c>
      <c r="E10" s="209"/>
      <c r="F10" s="209"/>
      <c r="G10" s="210"/>
      <c r="I10" s="9"/>
      <c r="J10" s="9"/>
    </row>
    <row r="11" spans="1:15" ht="13.5" thickBot="1" x14ac:dyDescent="0.25">
      <c r="B11" s="520" t="s">
        <v>5</v>
      </c>
      <c r="C11" s="521"/>
      <c r="D11" s="217" t="s">
        <v>177</v>
      </c>
      <c r="E11" s="218"/>
      <c r="F11" s="218"/>
      <c r="G11" s="219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2" t="s">
        <v>6</v>
      </c>
      <c r="C16" s="142" t="s">
        <v>8</v>
      </c>
      <c r="D16" s="108" t="s">
        <v>59</v>
      </c>
      <c r="E16" s="142" t="s">
        <v>14</v>
      </c>
      <c r="F16" s="142" t="s">
        <v>81</v>
      </c>
      <c r="G16" s="142" t="s">
        <v>70</v>
      </c>
      <c r="H16" s="142" t="s">
        <v>12</v>
      </c>
      <c r="I16" s="142" t="s">
        <v>9</v>
      </c>
      <c r="J16" s="142" t="s">
        <v>10</v>
      </c>
      <c r="K16" s="142" t="s">
        <v>11</v>
      </c>
      <c r="L16" s="142" t="s">
        <v>76</v>
      </c>
      <c r="M16" s="142" t="s">
        <v>13</v>
      </c>
      <c r="N16" s="142" t="s">
        <v>99</v>
      </c>
      <c r="O16" s="143" t="s">
        <v>56</v>
      </c>
    </row>
    <row r="17" spans="1:17" x14ac:dyDescent="0.2">
      <c r="A17" s="11"/>
      <c r="B17" s="230" t="s">
        <v>236</v>
      </c>
      <c r="C17" s="231" t="s">
        <v>238</v>
      </c>
      <c r="D17" s="489">
        <f>E17+F17</f>
        <v>1.2330000000000001E-2</v>
      </c>
      <c r="E17" s="444">
        <v>4.3299999999999996E-3</v>
      </c>
      <c r="F17" s="392">
        <v>8.0000000000000002E-3</v>
      </c>
      <c r="G17" s="300"/>
      <c r="H17" s="76">
        <v>496500000</v>
      </c>
      <c r="I17" s="76">
        <v>404898387.85000002</v>
      </c>
      <c r="J17" s="32">
        <v>429895.32</v>
      </c>
      <c r="K17" s="118">
        <v>13930401.52</v>
      </c>
      <c r="L17" s="32">
        <f>I17-K17</f>
        <v>390967986.33000004</v>
      </c>
      <c r="M17" s="69">
        <f>L17/L21</f>
        <v>0.97433136868404613</v>
      </c>
      <c r="N17" s="233" t="s">
        <v>179</v>
      </c>
      <c r="O17" s="65">
        <v>57278</v>
      </c>
      <c r="Q17" s="104"/>
    </row>
    <row r="18" spans="1:17" x14ac:dyDescent="0.2">
      <c r="A18" s="11"/>
      <c r="B18" s="231" t="s">
        <v>237</v>
      </c>
      <c r="C18" s="231" t="s">
        <v>239</v>
      </c>
      <c r="D18" s="389">
        <f>E18+F18</f>
        <v>1.933E-2</v>
      </c>
      <c r="E18" s="119">
        <v>4.3299999999999996E-3</v>
      </c>
      <c r="F18" s="390">
        <v>1.4999999999999999E-2</v>
      </c>
      <c r="G18" s="7"/>
      <c r="H18" s="75">
        <v>10300000</v>
      </c>
      <c r="I18" s="75">
        <v>10300000</v>
      </c>
      <c r="J18" s="74">
        <v>17144.41</v>
      </c>
      <c r="K18" s="73">
        <v>0</v>
      </c>
      <c r="L18" s="352">
        <f>I18-K18</f>
        <v>10300000</v>
      </c>
      <c r="M18" s="24">
        <f>L18/L21</f>
        <v>2.5668631315953899E-2</v>
      </c>
      <c r="N18" s="353" t="s">
        <v>179</v>
      </c>
      <c r="O18" s="55">
        <v>57278</v>
      </c>
      <c r="Q18" s="104"/>
    </row>
    <row r="19" spans="1:17" x14ac:dyDescent="0.2">
      <c r="A19" s="11"/>
      <c r="B19" s="231"/>
      <c r="C19" s="231"/>
      <c r="D19" s="389"/>
      <c r="E19" s="119"/>
      <c r="F19" s="390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91"/>
      <c r="E20" s="8"/>
      <c r="F20" s="393"/>
      <c r="G20" s="8"/>
      <c r="H20" s="72"/>
      <c r="I20" s="71"/>
      <c r="J20" s="71"/>
      <c r="K20" s="70"/>
      <c r="L20" s="71"/>
      <c r="M20" s="54"/>
      <c r="N20" s="54"/>
      <c r="O20" s="232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415198387.85000002</v>
      </c>
      <c r="J21" s="36">
        <f>SUM(J17:J19)</f>
        <v>447039.73</v>
      </c>
      <c r="K21" s="36">
        <f>SUM(K17:K19)</f>
        <v>13930401.52</v>
      </c>
      <c r="L21" s="36">
        <f>SUM(L17:L19)</f>
        <v>401267986.33000004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43"/>
      <c r="B27" s="344"/>
      <c r="C27" s="344"/>
      <c r="D27" s="344"/>
      <c r="E27" s="344"/>
      <c r="F27" s="344" t="s">
        <v>104</v>
      </c>
      <c r="G27" s="344" t="s">
        <v>18</v>
      </c>
      <c r="H27" s="84" t="s">
        <v>17</v>
      </c>
      <c r="I27" s="6"/>
      <c r="J27" s="19"/>
      <c r="K27" s="66"/>
      <c r="L27" s="90" t="s">
        <v>79</v>
      </c>
      <c r="M27" s="510" t="s">
        <v>98</v>
      </c>
      <c r="N27" s="510"/>
      <c r="O27" s="511"/>
    </row>
    <row r="28" spans="1:17" x14ac:dyDescent="0.2">
      <c r="A28" s="19"/>
      <c r="B28" s="107" t="s">
        <v>105</v>
      </c>
      <c r="C28" s="31"/>
      <c r="D28" s="31"/>
      <c r="E28" s="31"/>
      <c r="F28" s="413">
        <v>400642158.56</v>
      </c>
      <c r="G28" s="387">
        <f t="shared" ref="G28:G30" si="0">+H28-F28</f>
        <v>-13317902.980000019</v>
      </c>
      <c r="H28" s="414">
        <v>387324255.57999998</v>
      </c>
      <c r="I28" s="57"/>
      <c r="J28" s="14"/>
      <c r="K28" s="62"/>
      <c r="L28" s="91"/>
      <c r="M28" s="512" t="s">
        <v>80</v>
      </c>
      <c r="N28" s="513"/>
      <c r="O28" s="514"/>
    </row>
    <row r="29" spans="1:17" x14ac:dyDescent="0.2">
      <c r="A29" s="11"/>
      <c r="B29" s="206" t="s">
        <v>101</v>
      </c>
      <c r="C29" s="9"/>
      <c r="D29" s="9"/>
      <c r="E29" s="9"/>
      <c r="F29" s="144">
        <v>3296748.77</v>
      </c>
      <c r="G29" s="387">
        <f t="shared" si="0"/>
        <v>-212688.39000000013</v>
      </c>
      <c r="H29" s="145">
        <v>3084060.38</v>
      </c>
      <c r="J29" s="130" t="s">
        <v>28</v>
      </c>
      <c r="K29" s="67"/>
      <c r="L29" s="482">
        <v>6.3964288103326604E-4</v>
      </c>
      <c r="M29" s="483"/>
      <c r="N29" s="477">
        <v>-19.860089643719675</v>
      </c>
      <c r="O29" s="146"/>
    </row>
    <row r="30" spans="1:17" x14ac:dyDescent="0.2">
      <c r="A30" s="11"/>
      <c r="B30" s="92" t="s">
        <v>19</v>
      </c>
      <c r="C30" s="92"/>
      <c r="D30" s="92"/>
      <c r="E30" s="92"/>
      <c r="F30" s="147">
        <v>403938907.32999998</v>
      </c>
      <c r="G30" s="387">
        <f t="shared" si="0"/>
        <v>-13530591.370000005</v>
      </c>
      <c r="H30" s="415">
        <v>390408315.95999998</v>
      </c>
      <c r="I30" s="57"/>
      <c r="J30" s="130" t="s">
        <v>35</v>
      </c>
      <c r="K30" s="67"/>
      <c r="L30" s="482">
        <v>9.542729618448264E-5</v>
      </c>
      <c r="M30" s="485"/>
      <c r="N30" s="486">
        <v>-2.7330249055108746</v>
      </c>
      <c r="O30" s="148"/>
    </row>
    <row r="31" spans="1:17" x14ac:dyDescent="0.2">
      <c r="A31" s="11"/>
      <c r="B31" s="102"/>
      <c r="C31" s="9"/>
      <c r="D31" s="9"/>
      <c r="E31" s="9"/>
      <c r="F31" s="372"/>
      <c r="G31" s="387"/>
      <c r="H31" s="149"/>
      <c r="I31" s="57"/>
      <c r="J31" s="130" t="s">
        <v>36</v>
      </c>
      <c r="K31" s="67"/>
      <c r="L31" s="482">
        <v>6.599586506410339E-2</v>
      </c>
      <c r="M31" s="485"/>
      <c r="N31" s="486">
        <v>-18.258423236836421</v>
      </c>
      <c r="O31" s="148"/>
    </row>
    <row r="32" spans="1:17" x14ac:dyDescent="0.2">
      <c r="A32" s="11"/>
      <c r="B32" s="102"/>
      <c r="C32" s="9"/>
      <c r="D32" s="9"/>
      <c r="E32" s="9"/>
      <c r="F32" s="372"/>
      <c r="G32" s="387"/>
      <c r="H32" s="149"/>
      <c r="I32" s="57"/>
      <c r="J32" s="130" t="s">
        <v>33</v>
      </c>
      <c r="K32" s="67"/>
      <c r="L32" s="482">
        <v>0.14155732501267287</v>
      </c>
      <c r="M32" s="452"/>
      <c r="N32" s="453">
        <v>-2.3628165644615136</v>
      </c>
      <c r="O32" s="150"/>
    </row>
    <row r="33" spans="1:15" ht="15.75" customHeight="1" x14ac:dyDescent="0.2">
      <c r="A33" s="11"/>
      <c r="B33" s="9"/>
      <c r="C33" s="9"/>
      <c r="D33" s="9"/>
      <c r="E33" s="9"/>
      <c r="F33" s="151"/>
      <c r="G33" s="387"/>
      <c r="H33" s="152"/>
      <c r="I33" s="57"/>
      <c r="J33" s="131"/>
      <c r="K33" s="64"/>
      <c r="L33" s="120"/>
      <c r="M33" s="126"/>
      <c r="N33" s="125" t="s">
        <v>232</v>
      </c>
      <c r="O33" s="127"/>
    </row>
    <row r="34" spans="1:15" x14ac:dyDescent="0.2">
      <c r="A34" s="11"/>
      <c r="B34" s="9" t="s">
        <v>20</v>
      </c>
      <c r="C34" s="9"/>
      <c r="D34" s="9"/>
      <c r="E34" s="9"/>
      <c r="F34" s="372">
        <v>5.0784264431703265</v>
      </c>
      <c r="G34" s="470">
        <f t="shared" ref="G34:G39" si="1">+H34-F34</f>
        <v>-5.5521528614654869E-4</v>
      </c>
      <c r="H34" s="149">
        <v>5.07787122788418</v>
      </c>
      <c r="J34" s="130" t="s">
        <v>29</v>
      </c>
      <c r="K34" s="67"/>
      <c r="L34" s="482">
        <v>0.77779676832271127</v>
      </c>
      <c r="M34" s="483"/>
      <c r="N34" s="484">
        <v>56.529294929973162</v>
      </c>
      <c r="O34" s="146"/>
    </row>
    <row r="35" spans="1:15" x14ac:dyDescent="0.2">
      <c r="A35" s="11"/>
      <c r="B35" s="102" t="s">
        <v>171</v>
      </c>
      <c r="C35" s="9"/>
      <c r="D35" s="9"/>
      <c r="E35" s="9"/>
      <c r="F35" s="372">
        <v>195.69789434720062</v>
      </c>
      <c r="G35" s="470">
        <f t="shared" si="1"/>
        <v>0.10240294070862888</v>
      </c>
      <c r="H35" s="149">
        <v>195.80029728790925</v>
      </c>
      <c r="J35" s="130" t="s">
        <v>107</v>
      </c>
      <c r="K35" s="67"/>
      <c r="L35" s="482">
        <v>1.3914971423294679E-2</v>
      </c>
      <c r="M35" s="485"/>
      <c r="N35" s="486">
        <v>42.439139847452324</v>
      </c>
      <c r="O35" s="148"/>
    </row>
    <row r="36" spans="1:15" ht="12.75" customHeight="1" x14ac:dyDescent="0.2">
      <c r="A36" s="11"/>
      <c r="B36" s="9" t="s">
        <v>21</v>
      </c>
      <c r="C36" s="9"/>
      <c r="D36" s="9"/>
      <c r="E36" s="9"/>
      <c r="F36" s="384">
        <v>51028</v>
      </c>
      <c r="G36" s="488">
        <f t="shared" si="1"/>
        <v>-1903</v>
      </c>
      <c r="H36" s="153">
        <v>49125</v>
      </c>
      <c r="J36" s="130" t="s">
        <v>37</v>
      </c>
      <c r="K36" s="67"/>
      <c r="L36" s="482">
        <v>0</v>
      </c>
      <c r="M36" s="485"/>
      <c r="N36" s="486">
        <v>0</v>
      </c>
      <c r="O36" s="148"/>
    </row>
    <row r="37" spans="1:15" ht="13.5" thickBot="1" x14ac:dyDescent="0.25">
      <c r="A37" s="11"/>
      <c r="B37" s="9" t="s">
        <v>22</v>
      </c>
      <c r="C37" s="9"/>
      <c r="D37" s="9"/>
      <c r="E37" s="9"/>
      <c r="F37" s="384">
        <v>18780</v>
      </c>
      <c r="G37" s="488">
        <f t="shared" si="1"/>
        <v>-648</v>
      </c>
      <c r="H37" s="153">
        <v>18132</v>
      </c>
      <c r="J37" s="94" t="s">
        <v>85</v>
      </c>
      <c r="K37" s="67"/>
      <c r="L37" s="481"/>
      <c r="M37" s="339"/>
      <c r="N37" s="487">
        <v>43.006423731584277</v>
      </c>
      <c r="O37" s="128"/>
    </row>
    <row r="38" spans="1:15" ht="13.5" thickBot="1" x14ac:dyDescent="0.25">
      <c r="A38" s="11"/>
      <c r="B38" s="9" t="s">
        <v>100</v>
      </c>
      <c r="C38" s="9"/>
      <c r="D38" s="9"/>
      <c r="E38" s="9"/>
      <c r="F38" s="417">
        <v>7916.0246791957352</v>
      </c>
      <c r="G38" s="470">
        <f t="shared" si="1"/>
        <v>31.218393781363375</v>
      </c>
      <c r="H38" s="418">
        <v>7947.2430729770986</v>
      </c>
      <c r="J38" s="87"/>
      <c r="K38" s="88"/>
      <c r="L38" s="394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19">
        <v>21508.994000532479</v>
      </c>
      <c r="G39" s="470">
        <f t="shared" si="1"/>
        <v>22.459560023442464</v>
      </c>
      <c r="H39" s="420">
        <v>21531.453560555921</v>
      </c>
      <c r="J39" s="498" t="s">
        <v>84</v>
      </c>
      <c r="K39" s="499"/>
      <c r="L39" s="499"/>
      <c r="M39" s="499"/>
      <c r="N39" s="499"/>
      <c r="O39" s="500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01"/>
      <c r="K40" s="502"/>
      <c r="L40" s="502"/>
      <c r="M40" s="502"/>
      <c r="N40" s="502"/>
      <c r="O40" s="503"/>
    </row>
    <row r="41" spans="1:15" s="41" customFormat="1" ht="12" thickBot="1" x14ac:dyDescent="0.25">
      <c r="A41" s="368"/>
      <c r="B41" s="99"/>
      <c r="C41" s="99"/>
      <c r="D41" s="99"/>
      <c r="E41" s="99"/>
      <c r="F41" s="99"/>
      <c r="G41" s="99"/>
      <c r="H41" s="369"/>
      <c r="J41" s="504"/>
      <c r="K41" s="505"/>
      <c r="L41" s="505"/>
      <c r="M41" s="505"/>
      <c r="N41" s="505"/>
      <c r="O41" s="506"/>
    </row>
    <row r="42" spans="1:15" ht="13.5" thickBot="1" x14ac:dyDescent="0.25"/>
    <row r="43" spans="1:15" ht="15.75" x14ac:dyDescent="0.25">
      <c r="A43" s="234" t="s">
        <v>23</v>
      </c>
      <c r="B43" s="235"/>
      <c r="C43" s="235"/>
      <c r="D43" s="235"/>
      <c r="E43" s="235"/>
      <c r="F43" s="235"/>
      <c r="G43" s="235"/>
      <c r="H43" s="236"/>
      <c r="I43" s="9"/>
      <c r="J43" s="9"/>
      <c r="L43" s="9"/>
    </row>
    <row r="44" spans="1:15" x14ac:dyDescent="0.2">
      <c r="A44" s="237"/>
      <c r="B44" s="238"/>
      <c r="C44" s="238"/>
      <c r="D44" s="238"/>
      <c r="E44" s="238"/>
      <c r="F44" s="102"/>
      <c r="G44" s="238"/>
      <c r="H44" s="239"/>
      <c r="I44" s="9"/>
      <c r="J44" s="9"/>
      <c r="L44" s="109"/>
    </row>
    <row r="45" spans="1:15" x14ac:dyDescent="0.2">
      <c r="A45" s="240"/>
      <c r="B45" s="241"/>
      <c r="C45" s="241"/>
      <c r="D45" s="241"/>
      <c r="E45" s="241"/>
      <c r="F45" s="361" t="s">
        <v>16</v>
      </c>
      <c r="G45" s="357" t="s">
        <v>18</v>
      </c>
      <c r="H45" s="242" t="s">
        <v>17</v>
      </c>
      <c r="I45" s="92"/>
      <c r="J45" s="154"/>
      <c r="L45" s="109"/>
    </row>
    <row r="46" spans="1:15" x14ac:dyDescent="0.2">
      <c r="A46" s="237"/>
      <c r="B46" s="238" t="s">
        <v>24</v>
      </c>
      <c r="C46" s="238"/>
      <c r="D46" s="238"/>
      <c r="E46" s="349"/>
      <c r="F46" s="371">
        <v>1045399.47</v>
      </c>
      <c r="G46" s="337">
        <f t="shared" ref="G46:G53" si="2">+H46-F46</f>
        <v>-35552.199999999953</v>
      </c>
      <c r="H46" s="168">
        <v>1009847.27</v>
      </c>
      <c r="I46" s="9"/>
      <c r="J46" s="116"/>
      <c r="L46" s="109"/>
    </row>
    <row r="47" spans="1:15" x14ac:dyDescent="0.2">
      <c r="A47" s="237"/>
      <c r="B47" s="238" t="s">
        <v>147</v>
      </c>
      <c r="C47" s="238"/>
      <c r="D47" s="238"/>
      <c r="E47" s="350"/>
      <c r="F47" s="371">
        <v>1009847.27</v>
      </c>
      <c r="G47" s="337">
        <f t="shared" si="2"/>
        <v>-33826.479999999981</v>
      </c>
      <c r="H47" s="168">
        <v>976020.79</v>
      </c>
      <c r="I47" s="9"/>
      <c r="J47" s="157"/>
    </row>
    <row r="48" spans="1:15" x14ac:dyDescent="0.2">
      <c r="A48" s="237"/>
      <c r="B48" s="238" t="s">
        <v>25</v>
      </c>
      <c r="C48" s="238"/>
      <c r="D48" s="238"/>
      <c r="E48" s="350"/>
      <c r="F48" s="371">
        <v>13941980.060000001</v>
      </c>
      <c r="G48" s="337">
        <f t="shared" si="2"/>
        <v>0</v>
      </c>
      <c r="H48" s="168">
        <v>13941980.060000001</v>
      </c>
      <c r="I48" s="9"/>
      <c r="J48" s="156"/>
      <c r="L48" s="110"/>
    </row>
    <row r="49" spans="1:14" x14ac:dyDescent="0.2">
      <c r="A49" s="237"/>
      <c r="B49" s="238" t="s">
        <v>148</v>
      </c>
      <c r="C49" s="238"/>
      <c r="D49" s="238"/>
      <c r="E49" s="350"/>
      <c r="F49" s="371">
        <v>13941980.060000001</v>
      </c>
      <c r="G49" s="337">
        <f t="shared" si="2"/>
        <v>0</v>
      </c>
      <c r="H49" s="168">
        <v>13941980.060000001</v>
      </c>
      <c r="I49" s="9"/>
      <c r="J49" s="155"/>
      <c r="L49" s="110"/>
    </row>
    <row r="50" spans="1:14" x14ac:dyDescent="0.2">
      <c r="A50" s="237"/>
      <c r="B50" s="238" t="s">
        <v>149</v>
      </c>
      <c r="C50" s="238"/>
      <c r="D50" s="238"/>
      <c r="E50" s="350"/>
      <c r="F50" s="371">
        <v>15905944.9</v>
      </c>
      <c r="G50" s="337">
        <f t="shared" si="2"/>
        <v>-898517.61000000127</v>
      </c>
      <c r="H50" s="168">
        <v>15007427.289999999</v>
      </c>
      <c r="I50" s="9"/>
      <c r="J50" s="116"/>
      <c r="L50" s="9"/>
    </row>
    <row r="51" spans="1:14" x14ac:dyDescent="0.2">
      <c r="A51" s="237"/>
      <c r="B51" s="238" t="s">
        <v>102</v>
      </c>
      <c r="C51" s="238"/>
      <c r="D51" s="238"/>
      <c r="E51" s="238"/>
      <c r="F51" s="362">
        <v>0</v>
      </c>
      <c r="G51" s="337">
        <f t="shared" si="2"/>
        <v>0</v>
      </c>
      <c r="H51" s="168">
        <v>0</v>
      </c>
      <c r="I51" s="9"/>
      <c r="J51" s="116"/>
      <c r="K51" s="110"/>
      <c r="L51" s="116"/>
      <c r="M51" s="114"/>
    </row>
    <row r="52" spans="1:14" x14ac:dyDescent="0.2">
      <c r="A52" s="237"/>
      <c r="B52" s="238" t="s">
        <v>150</v>
      </c>
      <c r="C52" s="238"/>
      <c r="D52" s="238"/>
      <c r="E52" s="238"/>
      <c r="F52" s="362"/>
      <c r="G52" s="337"/>
      <c r="H52" s="168"/>
      <c r="I52" s="9"/>
      <c r="J52" s="9"/>
      <c r="L52" s="9"/>
    </row>
    <row r="53" spans="1:14" x14ac:dyDescent="0.2">
      <c r="A53" s="237"/>
      <c r="B53" s="243" t="s">
        <v>151</v>
      </c>
      <c r="C53" s="238"/>
      <c r="D53" s="238"/>
      <c r="E53" s="238"/>
      <c r="F53" s="363">
        <f>F47+F48+F50+F51</f>
        <v>30857772.23</v>
      </c>
      <c r="G53" s="358">
        <f t="shared" si="2"/>
        <v>-932344.08999999985</v>
      </c>
      <c r="H53" s="77">
        <f>H47+H48+H50+H51</f>
        <v>29925428.140000001</v>
      </c>
      <c r="I53" s="9"/>
      <c r="J53" s="117"/>
      <c r="K53" s="56"/>
      <c r="L53" s="117"/>
    </row>
    <row r="54" spans="1:14" x14ac:dyDescent="0.2">
      <c r="A54" s="237"/>
      <c r="B54" s="238"/>
      <c r="C54" s="238"/>
      <c r="D54" s="238"/>
      <c r="E54" s="238"/>
      <c r="F54" s="244"/>
      <c r="G54" s="350"/>
      <c r="H54" s="239"/>
      <c r="I54" s="9"/>
      <c r="J54" s="9"/>
      <c r="L54" s="9"/>
    </row>
    <row r="55" spans="1:14" x14ac:dyDescent="0.2">
      <c r="A55" s="245"/>
      <c r="B55" s="246"/>
      <c r="C55" s="246"/>
      <c r="D55" s="246"/>
      <c r="E55" s="246"/>
      <c r="F55" s="280"/>
      <c r="G55" s="359"/>
      <c r="H55" s="247"/>
      <c r="I55" s="9"/>
      <c r="J55" s="9"/>
    </row>
    <row r="56" spans="1:14" x14ac:dyDescent="0.2">
      <c r="A56" s="245"/>
      <c r="B56" s="246"/>
      <c r="C56" s="246"/>
      <c r="D56" s="246"/>
      <c r="E56" s="246"/>
      <c r="F56" s="280"/>
      <c r="G56" s="359"/>
      <c r="H56" s="247"/>
      <c r="I56" s="9"/>
      <c r="J56" s="9"/>
      <c r="L56" s="57"/>
      <c r="M56" s="57"/>
    </row>
    <row r="57" spans="1:14" ht="13.5" thickBot="1" x14ac:dyDescent="0.25">
      <c r="A57" s="248"/>
      <c r="B57" s="249"/>
      <c r="C57" s="249"/>
      <c r="D57" s="249"/>
      <c r="E57" s="249"/>
      <c r="F57" s="364"/>
      <c r="G57" s="360"/>
      <c r="H57" s="250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8"/>
      <c r="H60" s="17"/>
      <c r="J60" s="322" t="s">
        <v>51</v>
      </c>
      <c r="K60" s="323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2" t="s">
        <v>16</v>
      </c>
      <c r="G62" s="142" t="s">
        <v>18</v>
      </c>
      <c r="H62" s="141" t="s">
        <v>17</v>
      </c>
      <c r="J62" s="324"/>
      <c r="K62" s="325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21" t="s">
        <v>212</v>
      </c>
      <c r="K63" s="326">
        <v>0.19259999999999999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411233659.57999998</v>
      </c>
      <c r="G64" s="85">
        <f>-F64+H64</f>
        <v>-13558856.169999957</v>
      </c>
      <c r="H64" s="58">
        <v>397674803.41000003</v>
      </c>
      <c r="I64" s="59"/>
      <c r="J64" s="327"/>
      <c r="K64" s="328"/>
    </row>
    <row r="65" spans="1:15" x14ac:dyDescent="0.2">
      <c r="A65" s="11"/>
      <c r="B65" s="9" t="s">
        <v>92</v>
      </c>
      <c r="C65" s="9"/>
      <c r="D65" s="9"/>
      <c r="E65" s="9"/>
      <c r="F65" s="371">
        <v>13941980.060000001</v>
      </c>
      <c r="G65" s="85">
        <f>-F65+H65</f>
        <v>0</v>
      </c>
      <c r="H65" s="58">
        <f>H48</f>
        <v>13941980.060000001</v>
      </c>
      <c r="I65" s="59"/>
      <c r="J65" s="320"/>
      <c r="K65" s="319"/>
    </row>
    <row r="66" spans="1:15" x14ac:dyDescent="0.2">
      <c r="A66" s="11"/>
      <c r="B66" s="9" t="s">
        <v>93</v>
      </c>
      <c r="C66" s="9"/>
      <c r="D66" s="9"/>
      <c r="E66" s="9"/>
      <c r="F66" s="371">
        <v>1009847.27</v>
      </c>
      <c r="G66" s="73">
        <f>(-F66+H66)</f>
        <v>-33826.479999999981</v>
      </c>
      <c r="H66" s="58">
        <f>H46+G47</f>
        <v>976020.79</v>
      </c>
      <c r="I66" s="59"/>
      <c r="J66" s="319"/>
      <c r="K66" s="319"/>
    </row>
    <row r="67" spans="1:15" x14ac:dyDescent="0.2">
      <c r="A67" s="11"/>
      <c r="B67" s="102" t="s">
        <v>102</v>
      </c>
      <c r="C67" s="9"/>
      <c r="D67" s="9"/>
      <c r="E67" s="9"/>
      <c r="F67" s="336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2">
        <f>SUM(F64:F67)</f>
        <v>426185486.90999997</v>
      </c>
      <c r="G68" s="123">
        <f>SUM(G64:G67)</f>
        <v>-13592682.649999958</v>
      </c>
      <c r="H68" s="77">
        <f>SUM(H64:H67)</f>
        <v>412592804.26000005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9"/>
      <c r="K71" s="330"/>
      <c r="L71" s="331" t="s">
        <v>46</v>
      </c>
      <c r="M71" s="331" t="s">
        <v>66</v>
      </c>
      <c r="N71" s="331" t="s">
        <v>38</v>
      </c>
      <c r="O71" s="332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71">
        <v>404898387.85000002</v>
      </c>
      <c r="G72" s="73">
        <f>(-F72+H72)</f>
        <v>-13930401.519999981</v>
      </c>
      <c r="H72" s="58">
        <f>L17</f>
        <v>390967986.33000004</v>
      </c>
      <c r="I72" s="59"/>
      <c r="J72" s="93" t="s">
        <v>109</v>
      </c>
      <c r="K72" s="9"/>
      <c r="L72" s="454">
        <v>128202245.77</v>
      </c>
      <c r="M72" s="478">
        <v>0.32837990516353449</v>
      </c>
      <c r="N72" s="455">
        <v>17944</v>
      </c>
      <c r="O72" s="456">
        <v>1650086.67</v>
      </c>
    </row>
    <row r="73" spans="1:15" x14ac:dyDescent="0.2">
      <c r="A73" s="11"/>
      <c r="B73" s="9" t="s">
        <v>95</v>
      </c>
      <c r="C73" s="9"/>
      <c r="D73" s="9"/>
      <c r="E73" s="9"/>
      <c r="F73" s="121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4">
        <v>0</v>
      </c>
      <c r="M73" s="478">
        <v>0</v>
      </c>
      <c r="N73" s="455">
        <v>0</v>
      </c>
      <c r="O73" s="456">
        <v>0</v>
      </c>
    </row>
    <row r="74" spans="1:15" x14ac:dyDescent="0.2">
      <c r="A74" s="11"/>
      <c r="B74" s="92" t="s">
        <v>55</v>
      </c>
      <c r="C74" s="9"/>
      <c r="D74" s="9"/>
      <c r="E74" s="9"/>
      <c r="F74" s="124">
        <f>SUM(F72:F73)</f>
        <v>415198387.85000002</v>
      </c>
      <c r="G74" s="123">
        <f>SUM(G72:G73)</f>
        <v>-13930401.519999981</v>
      </c>
      <c r="H74" s="77">
        <f>SUM(H72:H73)</f>
        <v>401267986.33000004</v>
      </c>
      <c r="J74" s="93" t="s">
        <v>108</v>
      </c>
      <c r="K74" s="9"/>
      <c r="L74" s="454">
        <v>262206070.19</v>
      </c>
      <c r="M74" s="478">
        <v>0.67162009483646556</v>
      </c>
      <c r="N74" s="455">
        <v>31181</v>
      </c>
      <c r="O74" s="456">
        <v>3782433.89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57">
        <v>390408315.95999998</v>
      </c>
      <c r="M75" s="458"/>
      <c r="N75" s="459">
        <v>49125</v>
      </c>
      <c r="O75" s="460">
        <v>5432520.5600000005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7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v>1.0526</v>
      </c>
      <c r="G78" s="96"/>
      <c r="H78" s="416">
        <f>+H68/H72</f>
        <v>1.0553109683813022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24">
        <v>1.0265</v>
      </c>
      <c r="G79" s="96"/>
      <c r="H79" s="416">
        <f>+H68/H74</f>
        <v>1.0282225802102403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12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1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42"/>
    </row>
    <row r="88" spans="1:15" s="13" customFormat="1" x14ac:dyDescent="0.2">
      <c r="A88" s="343"/>
      <c r="B88" s="344"/>
      <c r="C88" s="344"/>
      <c r="D88" s="344"/>
      <c r="E88" s="34"/>
      <c r="F88" s="496" t="s">
        <v>38</v>
      </c>
      <c r="G88" s="496"/>
      <c r="H88" s="204" t="s">
        <v>229</v>
      </c>
      <c r="I88" s="205"/>
      <c r="J88" s="496" t="s">
        <v>41</v>
      </c>
      <c r="K88" s="496"/>
      <c r="L88" s="496" t="s">
        <v>42</v>
      </c>
      <c r="M88" s="496"/>
      <c r="N88" s="496" t="s">
        <v>61</v>
      </c>
      <c r="O88" s="497"/>
    </row>
    <row r="89" spans="1:15" s="13" customFormat="1" x14ac:dyDescent="0.2">
      <c r="A89" s="343"/>
      <c r="B89" s="344"/>
      <c r="C89" s="344"/>
      <c r="D89" s="344"/>
      <c r="E89" s="34"/>
      <c r="F89" s="331" t="s">
        <v>39</v>
      </c>
      <c r="G89" s="331" t="s">
        <v>40</v>
      </c>
      <c r="H89" s="345" t="s">
        <v>39</v>
      </c>
      <c r="I89" s="35" t="s">
        <v>40</v>
      </c>
      <c r="J89" s="331" t="s">
        <v>39</v>
      </c>
      <c r="K89" s="331" t="s">
        <v>40</v>
      </c>
      <c r="L89" s="331" t="s">
        <v>39</v>
      </c>
      <c r="M89" s="331" t="s">
        <v>40</v>
      </c>
      <c r="N89" s="331" t="s">
        <v>39</v>
      </c>
      <c r="O89" s="338" t="s">
        <v>40</v>
      </c>
    </row>
    <row r="90" spans="1:15" x14ac:dyDescent="0.2">
      <c r="A90" s="199" t="s">
        <v>28</v>
      </c>
      <c r="B90" s="102" t="s">
        <v>28</v>
      </c>
      <c r="C90" s="102"/>
      <c r="D90" s="102"/>
      <c r="E90" s="102"/>
      <c r="F90" s="384">
        <v>38</v>
      </c>
      <c r="G90" s="384">
        <v>38</v>
      </c>
      <c r="H90" s="372">
        <v>249291.98</v>
      </c>
      <c r="I90" s="372">
        <v>249721.9</v>
      </c>
      <c r="J90" s="373">
        <v>6.1715268194340977E-4</v>
      </c>
      <c r="K90" s="461">
        <v>6.3964288103326604E-4</v>
      </c>
      <c r="L90" s="374">
        <v>6.2468042092649743</v>
      </c>
      <c r="M90" s="374">
        <v>6.247311669501153</v>
      </c>
      <c r="N90" s="374">
        <v>120</v>
      </c>
      <c r="O90" s="375">
        <v>120</v>
      </c>
    </row>
    <row r="91" spans="1:15" x14ac:dyDescent="0.2">
      <c r="A91" s="199" t="s">
        <v>35</v>
      </c>
      <c r="B91" s="102" t="s">
        <v>35</v>
      </c>
      <c r="C91" s="102"/>
      <c r="D91" s="102"/>
      <c r="E91" s="102"/>
      <c r="F91" s="384">
        <v>6</v>
      </c>
      <c r="G91" s="384">
        <v>5</v>
      </c>
      <c r="H91" s="372">
        <v>41875.32</v>
      </c>
      <c r="I91" s="372">
        <v>37255.61</v>
      </c>
      <c r="J91" s="373">
        <v>1.036674587174385E-4</v>
      </c>
      <c r="K91" s="478">
        <v>9.542729618448264E-5</v>
      </c>
      <c r="L91" s="385">
        <v>6.800000095521658</v>
      </c>
      <c r="M91" s="385">
        <v>6.8000000536831902</v>
      </c>
      <c r="N91" s="385">
        <v>119.88776205172881</v>
      </c>
      <c r="O91" s="386">
        <v>120</v>
      </c>
    </row>
    <row r="92" spans="1:15" x14ac:dyDescent="0.2">
      <c r="A92" s="199" t="s">
        <v>29</v>
      </c>
      <c r="B92" s="102" t="s">
        <v>29</v>
      </c>
      <c r="C92" s="102"/>
      <c r="D92" s="102"/>
      <c r="E92" s="102"/>
      <c r="F92" s="384"/>
      <c r="G92" s="384"/>
      <c r="H92" s="372"/>
      <c r="I92" s="372"/>
      <c r="J92" s="478"/>
      <c r="K92" s="478"/>
      <c r="L92" s="385"/>
      <c r="M92" s="385"/>
      <c r="N92" s="385"/>
      <c r="O92" s="386"/>
    </row>
    <row r="93" spans="1:15" x14ac:dyDescent="0.2">
      <c r="A93" s="199" t="str">
        <f>+$B$92&amp;B93</f>
        <v>RepaymentCurrent</v>
      </c>
      <c r="B93" s="102" t="s">
        <v>116</v>
      </c>
      <c r="C93" s="102"/>
      <c r="D93" s="102"/>
      <c r="E93" s="102"/>
      <c r="F93" s="384">
        <v>30337</v>
      </c>
      <c r="G93" s="384">
        <v>29675</v>
      </c>
      <c r="H93" s="372">
        <v>246202365.38999999</v>
      </c>
      <c r="I93" s="372">
        <v>241836174.86000001</v>
      </c>
      <c r="J93" s="373">
        <v>0.60950396439247589</v>
      </c>
      <c r="K93" s="478">
        <v>0.61944422025266954</v>
      </c>
      <c r="L93" s="385">
        <v>5.0101011859332081</v>
      </c>
      <c r="M93" s="385">
        <v>4.9937642353098202</v>
      </c>
      <c r="N93" s="385">
        <v>199.27443742684181</v>
      </c>
      <c r="O93" s="386">
        <v>199.36123746859036</v>
      </c>
    </row>
    <row r="94" spans="1:15" x14ac:dyDescent="0.2">
      <c r="A94" s="199" t="str">
        <f>+$B$92&amp;B94</f>
        <v>Repayment31-60 Days Delinquent</v>
      </c>
      <c r="B94" s="129" t="s">
        <v>110</v>
      </c>
      <c r="C94" s="102"/>
      <c r="D94" s="102"/>
      <c r="E94" s="102"/>
      <c r="F94" s="384">
        <v>2059</v>
      </c>
      <c r="G94" s="384">
        <v>2084</v>
      </c>
      <c r="H94" s="372">
        <v>16684729.039999999</v>
      </c>
      <c r="I94" s="372">
        <v>15738691.51</v>
      </c>
      <c r="J94" s="373">
        <v>4.1305080390211878E-2</v>
      </c>
      <c r="K94" s="478">
        <v>4.0313412564737833E-2</v>
      </c>
      <c r="L94" s="385">
        <v>5.1980467511386088</v>
      </c>
      <c r="M94" s="385">
        <v>5.210817120844629</v>
      </c>
      <c r="N94" s="385">
        <v>198.31776706695624</v>
      </c>
      <c r="O94" s="386">
        <v>197.23821811029322</v>
      </c>
    </row>
    <row r="95" spans="1:15" x14ac:dyDescent="0.2">
      <c r="A95" s="199" t="str">
        <f t="shared" ref="A95:A99" si="3">+$B$92&amp;B95</f>
        <v>Repayment61-90 Days Delinquent</v>
      </c>
      <c r="B95" s="129" t="s">
        <v>111</v>
      </c>
      <c r="C95" s="102"/>
      <c r="D95" s="102"/>
      <c r="E95" s="102"/>
      <c r="F95" s="384">
        <v>1333</v>
      </c>
      <c r="G95" s="384">
        <v>1299</v>
      </c>
      <c r="H95" s="372">
        <v>9932764.1400000006</v>
      </c>
      <c r="I95" s="372">
        <v>10273038.880000001</v>
      </c>
      <c r="J95" s="373">
        <v>2.4589768303466184E-2</v>
      </c>
      <c r="K95" s="478">
        <v>2.6313575966585057E-2</v>
      </c>
      <c r="L95" s="385">
        <v>5.0760599274634544</v>
      </c>
      <c r="M95" s="385">
        <v>5.2766204959598086</v>
      </c>
      <c r="N95" s="385">
        <v>191.32025970365987</v>
      </c>
      <c r="O95" s="386">
        <v>194.69627545496058</v>
      </c>
    </row>
    <row r="96" spans="1:15" x14ac:dyDescent="0.2">
      <c r="A96" s="199" t="str">
        <f t="shared" si="3"/>
        <v>Repayment91-120 Days Delinquent</v>
      </c>
      <c r="B96" s="129" t="s">
        <v>172</v>
      </c>
      <c r="C96" s="102"/>
      <c r="D96" s="102"/>
      <c r="E96" s="102"/>
      <c r="F96" s="384">
        <v>1094</v>
      </c>
      <c r="G96" s="384">
        <v>992</v>
      </c>
      <c r="H96" s="372">
        <v>9526967.9100000001</v>
      </c>
      <c r="I96" s="372">
        <v>7265164.7599999998</v>
      </c>
      <c r="J96" s="373">
        <v>2.3585170274813095E-2</v>
      </c>
      <c r="K96" s="478">
        <v>1.8609144485396582E-2</v>
      </c>
      <c r="L96" s="385">
        <v>5.3369867979328589</v>
      </c>
      <c r="M96" s="385">
        <v>5.0590009220933343</v>
      </c>
      <c r="N96" s="385">
        <v>192.3908902575489</v>
      </c>
      <c r="O96" s="386">
        <v>188.27470587604401</v>
      </c>
    </row>
    <row r="97" spans="1:25" x14ac:dyDescent="0.2">
      <c r="A97" s="199" t="str">
        <f t="shared" si="3"/>
        <v>Repayment121-180 Days Delinquent</v>
      </c>
      <c r="B97" s="129" t="s">
        <v>112</v>
      </c>
      <c r="C97" s="102"/>
      <c r="D97" s="102"/>
      <c r="E97" s="102"/>
      <c r="F97" s="384">
        <v>1587</v>
      </c>
      <c r="G97" s="384">
        <v>1613</v>
      </c>
      <c r="H97" s="372">
        <v>12051905.91</v>
      </c>
      <c r="I97" s="372">
        <v>13061458.6</v>
      </c>
      <c r="J97" s="373">
        <v>2.9835962050949773E-2</v>
      </c>
      <c r="K97" s="478">
        <v>3.3455892372277841E-2</v>
      </c>
      <c r="L97" s="385">
        <v>4.8914771174147011</v>
      </c>
      <c r="M97" s="385">
        <v>5.0705552288011697</v>
      </c>
      <c r="N97" s="385">
        <v>189.14366498817114</v>
      </c>
      <c r="O97" s="386">
        <v>191.3466450561655</v>
      </c>
    </row>
    <row r="98" spans="1:25" x14ac:dyDescent="0.2">
      <c r="A98" s="199" t="str">
        <f t="shared" si="3"/>
        <v>Repayment181-270 Days Delinquent</v>
      </c>
      <c r="B98" s="129" t="s">
        <v>113</v>
      </c>
      <c r="C98" s="102"/>
      <c r="D98" s="102"/>
      <c r="E98" s="102"/>
      <c r="F98" s="384">
        <v>1807</v>
      </c>
      <c r="G98" s="384">
        <v>1635</v>
      </c>
      <c r="H98" s="372">
        <v>12988751.189999999</v>
      </c>
      <c r="I98" s="372">
        <v>11364625.779999999</v>
      </c>
      <c r="J98" s="373">
        <v>3.2155236730857344E-2</v>
      </c>
      <c r="K98" s="478">
        <v>2.9109589410396635E-2</v>
      </c>
      <c r="L98" s="385">
        <v>5.2569923436958224</v>
      </c>
      <c r="M98" s="385">
        <v>5.3349866941241251</v>
      </c>
      <c r="N98" s="385">
        <v>183.56722738562215</v>
      </c>
      <c r="O98" s="386">
        <v>182.64666431365768</v>
      </c>
    </row>
    <row r="99" spans="1:25" x14ac:dyDescent="0.2">
      <c r="A99" s="199" t="str">
        <f t="shared" si="3"/>
        <v>Repayment271+ Days Delinquent</v>
      </c>
      <c r="B99" s="129" t="s">
        <v>114</v>
      </c>
      <c r="C99" s="102"/>
      <c r="D99" s="102"/>
      <c r="E99" s="102"/>
      <c r="F99" s="384">
        <v>1129</v>
      </c>
      <c r="G99" s="384">
        <v>672</v>
      </c>
      <c r="H99" s="372">
        <v>6995510.6600000001</v>
      </c>
      <c r="I99" s="372">
        <v>4119172.09</v>
      </c>
      <c r="J99" s="373">
        <v>1.7318239300689545E-2</v>
      </c>
      <c r="K99" s="478">
        <v>1.0550933270647947E-2</v>
      </c>
      <c r="L99" s="385">
        <v>4.764631234226437</v>
      </c>
      <c r="M99" s="385">
        <v>4.8708684637645234</v>
      </c>
      <c r="N99" s="385">
        <v>156.80052840345468</v>
      </c>
      <c r="O99" s="386">
        <v>167.21795713808112</v>
      </c>
    </row>
    <row r="100" spans="1:25" x14ac:dyDescent="0.2">
      <c r="A100" s="200" t="s">
        <v>34</v>
      </c>
      <c r="B100" s="63" t="s">
        <v>34</v>
      </c>
      <c r="C100" s="63"/>
      <c r="D100" s="63"/>
      <c r="E100" s="63"/>
      <c r="F100" s="376">
        <v>39346</v>
      </c>
      <c r="G100" s="376">
        <v>37970</v>
      </c>
      <c r="H100" s="377">
        <v>314382994.24000007</v>
      </c>
      <c r="I100" s="377">
        <v>303658326.47999996</v>
      </c>
      <c r="J100" s="378">
        <v>0.77829342144346392</v>
      </c>
      <c r="K100" s="462">
        <v>0.77779676832271127</v>
      </c>
      <c r="L100" s="379">
        <v>5.0322562527102148</v>
      </c>
      <c r="M100" s="379">
        <v>5.0305506994902416</v>
      </c>
      <c r="N100" s="379">
        <v>196.78134159461715</v>
      </c>
      <c r="O100" s="380">
        <v>197.42181032512687</v>
      </c>
    </row>
    <row r="101" spans="1:25" x14ac:dyDescent="0.2">
      <c r="A101" s="199" t="s">
        <v>33</v>
      </c>
      <c r="B101" s="102" t="s">
        <v>33</v>
      </c>
      <c r="C101" s="102"/>
      <c r="D101" s="102"/>
      <c r="E101" s="102"/>
      <c r="F101" s="384">
        <v>5965</v>
      </c>
      <c r="G101" s="384">
        <v>5630</v>
      </c>
      <c r="H101" s="372">
        <v>56138548.350000001</v>
      </c>
      <c r="I101" s="372">
        <v>55265156.869999997</v>
      </c>
      <c r="J101" s="373">
        <v>0.13897781900008288</v>
      </c>
      <c r="K101" s="478">
        <v>0.14155732501267287</v>
      </c>
      <c r="L101" s="385">
        <v>5.3677944812764293</v>
      </c>
      <c r="M101" s="385">
        <v>5.3784167610198628</v>
      </c>
      <c r="N101" s="385">
        <v>205.79070795691496</v>
      </c>
      <c r="O101" s="386">
        <v>206.64284937819994</v>
      </c>
    </row>
    <row r="102" spans="1:25" x14ac:dyDescent="0.2">
      <c r="A102" s="199" t="s">
        <v>36</v>
      </c>
      <c r="B102" s="102" t="s">
        <v>36</v>
      </c>
      <c r="C102" s="102"/>
      <c r="D102" s="102"/>
      <c r="E102" s="102"/>
      <c r="F102" s="384">
        <v>4331</v>
      </c>
      <c r="G102" s="384">
        <v>4232</v>
      </c>
      <c r="H102" s="372">
        <v>26561137.68</v>
      </c>
      <c r="I102" s="372">
        <v>25765334.539999999</v>
      </c>
      <c r="J102" s="373">
        <v>6.5755333784424816E-2</v>
      </c>
      <c r="K102" s="478">
        <v>6.599586506410339E-2</v>
      </c>
      <c r="L102" s="385">
        <v>5.0421923926415184</v>
      </c>
      <c r="M102" s="385">
        <v>5.0293378084738816</v>
      </c>
      <c r="N102" s="385">
        <v>166.44928932276065</v>
      </c>
      <c r="O102" s="386">
        <v>165.03505169197777</v>
      </c>
    </row>
    <row r="103" spans="1:25" x14ac:dyDescent="0.2">
      <c r="A103" s="199" t="s">
        <v>107</v>
      </c>
      <c r="B103" s="102" t="s">
        <v>107</v>
      </c>
      <c r="C103" s="102"/>
      <c r="D103" s="102"/>
      <c r="E103" s="102"/>
      <c r="F103" s="384">
        <v>1342</v>
      </c>
      <c r="G103" s="384">
        <v>1250</v>
      </c>
      <c r="H103" s="372">
        <v>6565059.7599999998</v>
      </c>
      <c r="I103" s="372">
        <v>5432520.5599999996</v>
      </c>
      <c r="J103" s="479">
        <v>1.6252605631367514E-2</v>
      </c>
      <c r="K103" s="478">
        <v>1.3914971423294679E-2</v>
      </c>
      <c r="L103" s="385">
        <v>4.906223912270983</v>
      </c>
      <c r="M103" s="385">
        <v>4.8300787691818696</v>
      </c>
      <c r="N103" s="385">
        <v>179.20274852913144</v>
      </c>
      <c r="O103" s="386">
        <v>144.7795144359288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9" t="s">
        <v>37</v>
      </c>
      <c r="B104" s="102" t="s">
        <v>37</v>
      </c>
      <c r="C104" s="102"/>
      <c r="D104" s="102"/>
      <c r="E104" s="102"/>
      <c r="F104" s="384">
        <v>0</v>
      </c>
      <c r="G104" s="384">
        <v>0</v>
      </c>
      <c r="H104" s="372">
        <v>0</v>
      </c>
      <c r="I104" s="372">
        <v>0</v>
      </c>
      <c r="J104" s="479">
        <v>0</v>
      </c>
      <c r="K104" s="478">
        <v>0</v>
      </c>
      <c r="L104" s="385">
        <v>0</v>
      </c>
      <c r="M104" s="385">
        <v>0</v>
      </c>
      <c r="N104" s="385">
        <v>0</v>
      </c>
      <c r="O104" s="386">
        <v>0</v>
      </c>
    </row>
    <row r="105" spans="1:25" x14ac:dyDescent="0.2">
      <c r="A105" s="346"/>
      <c r="B105" s="3" t="s">
        <v>43</v>
      </c>
      <c r="C105" s="347"/>
      <c r="D105" s="347"/>
      <c r="E105" s="348"/>
      <c r="F105" s="463">
        <v>51028</v>
      </c>
      <c r="G105" s="463">
        <v>49125</v>
      </c>
      <c r="H105" s="457">
        <v>403938907.3300001</v>
      </c>
      <c r="I105" s="457">
        <v>390408315.95999998</v>
      </c>
      <c r="J105" s="464"/>
      <c r="K105" s="464"/>
      <c r="L105" s="381">
        <v>5.0784264432198363</v>
      </c>
      <c r="M105" s="381">
        <v>5.0778712279097951</v>
      </c>
      <c r="N105" s="381">
        <v>195.69789434720059</v>
      </c>
      <c r="O105" s="382">
        <v>195.80029728790927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8" t="s">
        <v>38</v>
      </c>
      <c r="G111" s="508"/>
      <c r="H111" s="204" t="s">
        <v>229</v>
      </c>
      <c r="I111" s="205"/>
      <c r="J111" s="508" t="s">
        <v>41</v>
      </c>
      <c r="K111" s="508"/>
      <c r="L111" s="508" t="s">
        <v>42</v>
      </c>
      <c r="M111" s="508"/>
      <c r="N111" s="508" t="s">
        <v>61</v>
      </c>
      <c r="O111" s="497"/>
    </row>
    <row r="112" spans="1:25" s="13" customFormat="1" x14ac:dyDescent="0.2">
      <c r="A112" s="18"/>
      <c r="B112" s="4"/>
      <c r="C112" s="4"/>
      <c r="D112" s="4"/>
      <c r="E112" s="34"/>
      <c r="F112" s="142" t="s">
        <v>39</v>
      </c>
      <c r="G112" s="142" t="s">
        <v>40</v>
      </c>
      <c r="H112" s="39" t="s">
        <v>39</v>
      </c>
      <c r="I112" s="40" t="s">
        <v>40</v>
      </c>
      <c r="J112" s="142" t="s">
        <v>39</v>
      </c>
      <c r="K112" s="142" t="s">
        <v>40</v>
      </c>
      <c r="L112" s="142" t="s">
        <v>39</v>
      </c>
      <c r="M112" s="142" t="s">
        <v>40</v>
      </c>
      <c r="N112" s="142" t="s">
        <v>39</v>
      </c>
      <c r="O112" s="14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5">
        <v>30337</v>
      </c>
      <c r="G113" s="465">
        <v>29675</v>
      </c>
      <c r="H113" s="480">
        <v>246202365.38999999</v>
      </c>
      <c r="I113" s="466">
        <v>241836174.86000001</v>
      </c>
      <c r="J113" s="478">
        <v>0.78312876300824663</v>
      </c>
      <c r="K113" s="478">
        <v>0.79640883773338</v>
      </c>
      <c r="L113" s="467">
        <v>5.0101011859332081</v>
      </c>
      <c r="M113" s="467">
        <v>4.9937642353098202</v>
      </c>
      <c r="N113" s="468">
        <v>199.27443742684181</v>
      </c>
      <c r="O113" s="469">
        <v>199.36123746859036</v>
      </c>
    </row>
    <row r="114" spans="1:15" x14ac:dyDescent="0.2">
      <c r="A114" s="11"/>
      <c r="B114" s="9" t="s">
        <v>31</v>
      </c>
      <c r="C114" s="9"/>
      <c r="D114" s="9"/>
      <c r="E114" s="9"/>
      <c r="F114" s="465">
        <v>2059</v>
      </c>
      <c r="G114" s="465">
        <v>2084</v>
      </c>
      <c r="H114" s="480">
        <v>16684729.039999999</v>
      </c>
      <c r="I114" s="470">
        <v>15738691.51</v>
      </c>
      <c r="J114" s="478">
        <v>5.3071347196543564E-2</v>
      </c>
      <c r="K114" s="478">
        <v>5.1830264931123526E-2</v>
      </c>
      <c r="L114" s="467">
        <v>5.1980467511386088</v>
      </c>
      <c r="M114" s="467">
        <v>5.210817120844629</v>
      </c>
      <c r="N114" s="468">
        <v>198.31776706695624</v>
      </c>
      <c r="O114" s="471">
        <v>197.23821811029322</v>
      </c>
    </row>
    <row r="115" spans="1:15" x14ac:dyDescent="0.2">
      <c r="A115" s="11"/>
      <c r="B115" s="9" t="s">
        <v>32</v>
      </c>
      <c r="C115" s="9"/>
      <c r="D115" s="9"/>
      <c r="E115" s="9"/>
      <c r="F115" s="465">
        <v>1333</v>
      </c>
      <c r="G115" s="465">
        <v>1299</v>
      </c>
      <c r="H115" s="480">
        <v>9932764.1400000006</v>
      </c>
      <c r="I115" s="470">
        <v>10273038.880000001</v>
      </c>
      <c r="J115" s="478">
        <v>3.1594470190767776E-2</v>
      </c>
      <c r="K115" s="478">
        <v>3.3830914498821162E-2</v>
      </c>
      <c r="L115" s="467">
        <v>5.0760599274634544</v>
      </c>
      <c r="M115" s="467">
        <v>5.2766204959598086</v>
      </c>
      <c r="N115" s="468">
        <v>191.32025970365987</v>
      </c>
      <c r="O115" s="471">
        <v>194.69627545496058</v>
      </c>
    </row>
    <row r="116" spans="1:15" x14ac:dyDescent="0.2">
      <c r="A116" s="11"/>
      <c r="B116" s="102" t="s">
        <v>175</v>
      </c>
      <c r="C116" s="9"/>
      <c r="D116" s="9"/>
      <c r="E116" s="9"/>
      <c r="F116" s="465">
        <v>1094</v>
      </c>
      <c r="G116" s="465">
        <v>992</v>
      </c>
      <c r="H116" s="480">
        <v>9526967.9100000001</v>
      </c>
      <c r="I116" s="470">
        <v>7265164.7599999998</v>
      </c>
      <c r="J116" s="478">
        <v>3.0303699896461672E-2</v>
      </c>
      <c r="K116" s="478">
        <v>2.3925458735868092E-2</v>
      </c>
      <c r="L116" s="467">
        <v>5.3369867979328589</v>
      </c>
      <c r="M116" s="467">
        <v>5.0590009220933343</v>
      </c>
      <c r="N116" s="468">
        <v>192.3908902575489</v>
      </c>
      <c r="O116" s="471">
        <v>188.27470587604401</v>
      </c>
    </row>
    <row r="117" spans="1:15" x14ac:dyDescent="0.2">
      <c r="A117" s="11"/>
      <c r="B117" s="9" t="s">
        <v>60</v>
      </c>
      <c r="C117" s="9"/>
      <c r="D117" s="9"/>
      <c r="E117" s="9"/>
      <c r="F117" s="465">
        <v>1587</v>
      </c>
      <c r="G117" s="465">
        <v>1613</v>
      </c>
      <c r="H117" s="480">
        <v>12051905.91</v>
      </c>
      <c r="I117" s="470">
        <v>13061458.6</v>
      </c>
      <c r="J117" s="478">
        <v>3.8335107594272645E-2</v>
      </c>
      <c r="K117" s="478">
        <v>4.3013668524779523E-2</v>
      </c>
      <c r="L117" s="467">
        <v>4.8914771174147011</v>
      </c>
      <c r="M117" s="467">
        <v>5.0705552288011697</v>
      </c>
      <c r="N117" s="468">
        <v>189.14366498817114</v>
      </c>
      <c r="O117" s="471">
        <v>191.3466450561655</v>
      </c>
    </row>
    <row r="118" spans="1:15" x14ac:dyDescent="0.2">
      <c r="A118" s="11"/>
      <c r="B118" s="9" t="s">
        <v>64</v>
      </c>
      <c r="C118" s="9"/>
      <c r="D118" s="9"/>
      <c r="E118" s="9"/>
      <c r="F118" s="465">
        <v>1807</v>
      </c>
      <c r="G118" s="465">
        <v>1635</v>
      </c>
      <c r="H118" s="480">
        <v>12988751.189999999</v>
      </c>
      <c r="I118" s="470">
        <v>11364625.779999999</v>
      </c>
      <c r="J118" s="478">
        <v>4.1315056564682956E-2</v>
      </c>
      <c r="K118" s="478">
        <v>3.7425701154776385E-2</v>
      </c>
      <c r="L118" s="467">
        <v>5.2569923436958224</v>
      </c>
      <c r="M118" s="472">
        <v>5.3349866941241251</v>
      </c>
      <c r="N118" s="468">
        <v>183.56722738562215</v>
      </c>
      <c r="O118" s="471">
        <v>182.64666431365768</v>
      </c>
    </row>
    <row r="119" spans="1:15" x14ac:dyDescent="0.2">
      <c r="A119" s="11"/>
      <c r="B119" s="9" t="s">
        <v>65</v>
      </c>
      <c r="C119" s="9"/>
      <c r="D119" s="9"/>
      <c r="E119" s="9"/>
      <c r="F119" s="465">
        <v>1129</v>
      </c>
      <c r="G119" s="465">
        <v>672</v>
      </c>
      <c r="H119" s="480">
        <v>6995510.6600000001</v>
      </c>
      <c r="I119" s="470">
        <v>4119172.09</v>
      </c>
      <c r="J119" s="478">
        <v>2.2251555549024464E-2</v>
      </c>
      <c r="K119" s="478">
        <v>1.356515442125149E-2</v>
      </c>
      <c r="L119" s="467">
        <v>4.764631234226437</v>
      </c>
      <c r="M119" s="467">
        <v>4.8708684637645234</v>
      </c>
      <c r="N119" s="468">
        <v>156.80052840345468</v>
      </c>
      <c r="O119" s="471">
        <v>167.21795713808112</v>
      </c>
    </row>
    <row r="120" spans="1:15" x14ac:dyDescent="0.2">
      <c r="A120" s="14"/>
      <c r="B120" s="3" t="s">
        <v>97</v>
      </c>
      <c r="C120" s="10"/>
      <c r="D120" s="10"/>
      <c r="E120" s="62"/>
      <c r="F120" s="473">
        <v>39346</v>
      </c>
      <c r="G120" s="473">
        <v>37970</v>
      </c>
      <c r="H120" s="474">
        <v>314382994.24000007</v>
      </c>
      <c r="I120" s="474">
        <v>303658326.47999996</v>
      </c>
      <c r="J120" s="464"/>
      <c r="K120" s="464"/>
      <c r="L120" s="475">
        <v>5.0322562527102148</v>
      </c>
      <c r="M120" s="476">
        <v>5.0305506994902416</v>
      </c>
      <c r="N120" s="457">
        <v>196.78134159461715</v>
      </c>
      <c r="O120" s="460">
        <v>197.42181032512687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50"/>
      <c r="K121" s="450"/>
      <c r="L121" s="1"/>
      <c r="M121" s="1"/>
      <c r="N121" s="1"/>
      <c r="O121" s="451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49"/>
      <c r="K122" s="449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9"/>
      <c r="B126" s="330"/>
      <c r="C126" s="330"/>
      <c r="D126" s="330"/>
      <c r="E126" s="330"/>
      <c r="F126" s="492" t="s">
        <v>38</v>
      </c>
      <c r="G126" s="493"/>
      <c r="H126" s="445" t="s">
        <v>229</v>
      </c>
      <c r="I126" s="446"/>
      <c r="J126" s="492" t="s">
        <v>41</v>
      </c>
      <c r="K126" s="493"/>
      <c r="L126" s="492" t="s">
        <v>42</v>
      </c>
      <c r="M126" s="493"/>
      <c r="N126" s="492" t="s">
        <v>61</v>
      </c>
      <c r="O126" s="507"/>
    </row>
    <row r="127" spans="1:15" x14ac:dyDescent="0.2">
      <c r="A127" s="329"/>
      <c r="B127" s="330"/>
      <c r="C127" s="330"/>
      <c r="D127" s="330"/>
      <c r="E127" s="330"/>
      <c r="F127" s="447" t="s">
        <v>39</v>
      </c>
      <c r="G127" s="447" t="s">
        <v>40</v>
      </c>
      <c r="H127" s="447" t="s">
        <v>39</v>
      </c>
      <c r="I127" s="446" t="s">
        <v>40</v>
      </c>
      <c r="J127" s="447" t="s">
        <v>39</v>
      </c>
      <c r="K127" s="447" t="s">
        <v>40</v>
      </c>
      <c r="L127" s="447" t="s">
        <v>39</v>
      </c>
      <c r="M127" s="447" t="s">
        <v>40</v>
      </c>
      <c r="N127" s="447" t="s">
        <v>39</v>
      </c>
      <c r="O127" s="448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84">
        <v>5036</v>
      </c>
      <c r="G128" s="384">
        <v>4884</v>
      </c>
      <c r="H128" s="385">
        <v>104596642.63</v>
      </c>
      <c r="I128" s="385">
        <v>101171054.68000001</v>
      </c>
      <c r="J128" s="478">
        <v>0.25894173780231877</v>
      </c>
      <c r="K128" s="478">
        <v>0.25914164874081641</v>
      </c>
      <c r="L128" s="385">
        <v>4.9284496152857065</v>
      </c>
      <c r="M128" s="385">
        <v>4.9231461758049937</v>
      </c>
      <c r="N128" s="385">
        <v>247.42845936163104</v>
      </c>
      <c r="O128" s="386">
        <v>246.59877602691407</v>
      </c>
    </row>
    <row r="129" spans="1:17" x14ac:dyDescent="0.2">
      <c r="A129" s="11"/>
      <c r="B129" s="9" t="s">
        <v>71</v>
      </c>
      <c r="C129" s="9"/>
      <c r="D129" s="9"/>
      <c r="E129" s="9"/>
      <c r="F129" s="384">
        <v>5025</v>
      </c>
      <c r="G129" s="384">
        <v>4866</v>
      </c>
      <c r="H129" s="385">
        <v>125022430.15000001</v>
      </c>
      <c r="I129" s="385">
        <v>121772492.62</v>
      </c>
      <c r="J129" s="478">
        <v>0.30950826444619328</v>
      </c>
      <c r="K129" s="478">
        <v>0.31191060139322546</v>
      </c>
      <c r="L129" s="385">
        <v>4.935041571418374</v>
      </c>
      <c r="M129" s="385">
        <v>4.9321455258718832</v>
      </c>
      <c r="N129" s="385">
        <v>259.36350039769241</v>
      </c>
      <c r="O129" s="386">
        <v>258.61476374187077</v>
      </c>
    </row>
    <row r="130" spans="1:17" x14ac:dyDescent="0.2">
      <c r="A130" s="11"/>
      <c r="B130" s="9" t="s">
        <v>73</v>
      </c>
      <c r="C130" s="9"/>
      <c r="D130" s="9"/>
      <c r="E130" s="9"/>
      <c r="F130" s="384">
        <v>22222</v>
      </c>
      <c r="G130" s="384">
        <v>21392</v>
      </c>
      <c r="H130" s="385">
        <v>75355133.150000006</v>
      </c>
      <c r="I130" s="385">
        <v>72397599.069999993</v>
      </c>
      <c r="J130" s="478">
        <v>0.18655081692449654</v>
      </c>
      <c r="K130" s="478">
        <v>0.18544071965264597</v>
      </c>
      <c r="L130" s="385">
        <v>4.8662106053222463</v>
      </c>
      <c r="M130" s="385">
        <v>4.8690378086871</v>
      </c>
      <c r="N130" s="385">
        <v>112.23751624808853</v>
      </c>
      <c r="O130" s="386">
        <v>112.2425502391733</v>
      </c>
    </row>
    <row r="131" spans="1:17" x14ac:dyDescent="0.2">
      <c r="A131" s="11"/>
      <c r="B131" s="9" t="s">
        <v>74</v>
      </c>
      <c r="C131" s="9"/>
      <c r="D131" s="9"/>
      <c r="E131" s="9"/>
      <c r="F131" s="384">
        <v>16877</v>
      </c>
      <c r="G131" s="384">
        <v>16184</v>
      </c>
      <c r="H131" s="385">
        <v>85952947.140000001</v>
      </c>
      <c r="I131" s="385">
        <v>82598134.040000007</v>
      </c>
      <c r="J131" s="478">
        <v>0.21278699719257371</v>
      </c>
      <c r="K131" s="478">
        <v>0.21156858259254585</v>
      </c>
      <c r="L131" s="385">
        <v>5.3121471909078277</v>
      </c>
      <c r="M131" s="385">
        <v>5.3203235842735506</v>
      </c>
      <c r="N131" s="385">
        <v>126.10701840246405</v>
      </c>
      <c r="O131" s="386">
        <v>126.76345446846851</v>
      </c>
    </row>
    <row r="132" spans="1:17" x14ac:dyDescent="0.2">
      <c r="A132" s="11"/>
      <c r="B132" s="9" t="s">
        <v>75</v>
      </c>
      <c r="C132" s="9"/>
      <c r="D132" s="9"/>
      <c r="E132" s="9"/>
      <c r="F132" s="384">
        <v>1823</v>
      </c>
      <c r="G132" s="384">
        <v>1754</v>
      </c>
      <c r="H132" s="385">
        <v>12812920.869999999</v>
      </c>
      <c r="I132" s="385">
        <v>12271686.470000001</v>
      </c>
      <c r="J132" s="478">
        <v>3.1719947342265839E-2</v>
      </c>
      <c r="K132" s="478">
        <v>3.1432953572785367E-2</v>
      </c>
      <c r="L132" s="385">
        <v>7.4071816358606766</v>
      </c>
      <c r="M132" s="385">
        <v>7.425684256419891</v>
      </c>
      <c r="N132" s="385">
        <v>111.34893622815295</v>
      </c>
      <c r="O132" s="386">
        <v>112.86288824652476</v>
      </c>
    </row>
    <row r="133" spans="1:17" x14ac:dyDescent="0.2">
      <c r="A133" s="11"/>
      <c r="B133" s="9" t="s">
        <v>45</v>
      </c>
      <c r="C133" s="9"/>
      <c r="D133" s="9"/>
      <c r="E133" s="9"/>
      <c r="F133" s="384">
        <v>45</v>
      </c>
      <c r="G133" s="384">
        <v>45</v>
      </c>
      <c r="H133" s="385">
        <v>198833.39</v>
      </c>
      <c r="I133" s="385">
        <v>197349.08</v>
      </c>
      <c r="J133" s="478">
        <v>4.9223629215187741E-4</v>
      </c>
      <c r="K133" s="478">
        <v>5.0549404798083176E-4</v>
      </c>
      <c r="L133" s="385">
        <v>3.4580116045901548</v>
      </c>
      <c r="M133" s="385">
        <v>3.4583005910136495</v>
      </c>
      <c r="N133" s="385">
        <v>100.10582347361274</v>
      </c>
      <c r="O133" s="386">
        <v>99.862299788780362</v>
      </c>
    </row>
    <row r="134" spans="1:17" x14ac:dyDescent="0.2">
      <c r="A134" s="14"/>
      <c r="B134" s="3" t="s">
        <v>57</v>
      </c>
      <c r="C134" s="10"/>
      <c r="D134" s="10"/>
      <c r="E134" s="10"/>
      <c r="F134" s="473">
        <v>51028</v>
      </c>
      <c r="G134" s="473">
        <v>49125</v>
      </c>
      <c r="H134" s="474">
        <v>403938907.32999998</v>
      </c>
      <c r="I134" s="474">
        <v>390408315.96000004</v>
      </c>
      <c r="J134" s="464"/>
      <c r="K134" s="464"/>
      <c r="L134" s="475">
        <v>5.0784264431950827</v>
      </c>
      <c r="M134" s="476">
        <v>5.0778712278841791</v>
      </c>
      <c r="N134" s="457">
        <v>195.69789434720067</v>
      </c>
      <c r="O134" s="460">
        <v>195.80029728790925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9"/>
    </row>
    <row r="137" spans="1:17" ht="13.5" thickBot="1" x14ac:dyDescent="0.25">
      <c r="D137" s="318"/>
      <c r="E137" s="318"/>
      <c r="F137" s="318"/>
    </row>
    <row r="138" spans="1:17" ht="15.75" x14ac:dyDescent="0.25">
      <c r="A138" s="89" t="s">
        <v>47</v>
      </c>
      <c r="B138" s="16"/>
      <c r="C138" s="16"/>
      <c r="D138" s="317"/>
      <c r="E138" s="9"/>
      <c r="F138" s="317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492" t="s">
        <v>38</v>
      </c>
      <c r="G140" s="493"/>
      <c r="H140" s="204" t="s">
        <v>229</v>
      </c>
      <c r="I140" s="205"/>
      <c r="J140" s="492" t="s">
        <v>87</v>
      </c>
      <c r="K140" s="493"/>
      <c r="L140" s="492" t="s">
        <v>42</v>
      </c>
      <c r="M140" s="493"/>
      <c r="N140" s="492" t="s">
        <v>61</v>
      </c>
      <c r="O140" s="495"/>
    </row>
    <row r="141" spans="1:17" x14ac:dyDescent="0.2">
      <c r="A141" s="23"/>
      <c r="B141" s="43"/>
      <c r="C141" s="43"/>
      <c r="D141" s="43"/>
      <c r="E141" s="43"/>
      <c r="F141" s="315" t="s">
        <v>39</v>
      </c>
      <c r="G141" s="315" t="s">
        <v>40</v>
      </c>
      <c r="H141" s="315" t="s">
        <v>39</v>
      </c>
      <c r="I141" s="314" t="s">
        <v>40</v>
      </c>
      <c r="J141" s="315" t="s">
        <v>39</v>
      </c>
      <c r="K141" s="315" t="s">
        <v>40</v>
      </c>
      <c r="L141" s="315" t="s">
        <v>39</v>
      </c>
      <c r="M141" s="315" t="s">
        <v>40</v>
      </c>
      <c r="N141" s="315" t="s">
        <v>39</v>
      </c>
      <c r="O141" s="316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84">
        <v>34290</v>
      </c>
      <c r="G142" s="384">
        <v>33090</v>
      </c>
      <c r="H142" s="385">
        <v>323714843.04000002</v>
      </c>
      <c r="I142" s="385">
        <v>314406931.69</v>
      </c>
      <c r="J142" s="478">
        <v>0.8013955505789877</v>
      </c>
      <c r="K142" s="478">
        <v>0.80532846980189099</v>
      </c>
      <c r="L142" s="385">
        <v>5.0763739292206163</v>
      </c>
      <c r="M142" s="385">
        <v>5.0717286587759967</v>
      </c>
      <c r="N142" s="468">
        <v>202.34752169836742</v>
      </c>
      <c r="O142" s="469">
        <v>202.87934424468287</v>
      </c>
    </row>
    <row r="143" spans="1:17" ht="14.25" x14ac:dyDescent="0.2">
      <c r="A143" s="11"/>
      <c r="B143" s="9" t="s">
        <v>89</v>
      </c>
      <c r="C143" s="9"/>
      <c r="D143" s="9"/>
      <c r="E143" s="9"/>
      <c r="F143" s="384">
        <v>8456</v>
      </c>
      <c r="G143" s="384">
        <v>8067</v>
      </c>
      <c r="H143" s="385">
        <v>25665614.09</v>
      </c>
      <c r="I143" s="385">
        <v>24363352.550000001</v>
      </c>
      <c r="J143" s="478">
        <v>6.353835598468939E-2</v>
      </c>
      <c r="K143" s="478">
        <v>6.24047991654363E-2</v>
      </c>
      <c r="L143" s="385">
        <v>4.8917372753967099</v>
      </c>
      <c r="M143" s="385">
        <v>4.8965047587426547</v>
      </c>
      <c r="N143" s="468">
        <v>112.27841733086699</v>
      </c>
      <c r="O143" s="471">
        <v>110.99168240333164</v>
      </c>
      <c r="Q143" s="317"/>
    </row>
    <row r="144" spans="1:17" ht="14.25" x14ac:dyDescent="0.2">
      <c r="A144" s="11"/>
      <c r="B144" s="9" t="s">
        <v>90</v>
      </c>
      <c r="C144" s="9"/>
      <c r="D144" s="9"/>
      <c r="E144" s="9"/>
      <c r="F144" s="384">
        <v>6616</v>
      </c>
      <c r="G144" s="384">
        <v>6369</v>
      </c>
      <c r="H144" s="385">
        <v>23288413.859999999</v>
      </c>
      <c r="I144" s="385">
        <v>22250142.309999999</v>
      </c>
      <c r="J144" s="478">
        <v>5.7653307065502382E-2</v>
      </c>
      <c r="K144" s="478">
        <v>5.6991978399045365E-2</v>
      </c>
      <c r="L144" s="385">
        <v>4.8963281701143728</v>
      </c>
      <c r="M144" s="385">
        <v>4.9245608204831299</v>
      </c>
      <c r="N144" s="468">
        <v>117.31043616381352</v>
      </c>
      <c r="O144" s="471">
        <v>116.52759570057781</v>
      </c>
      <c r="Q144" s="317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384">
        <v>1422</v>
      </c>
      <c r="G145" s="384">
        <v>1361</v>
      </c>
      <c r="H145" s="385">
        <v>30444662.09</v>
      </c>
      <c r="I145" s="385">
        <v>28564781.489999998</v>
      </c>
      <c r="J145" s="478">
        <v>7.5369471812548314E-2</v>
      </c>
      <c r="K145" s="478">
        <v>7.3166426846621405E-2</v>
      </c>
      <c r="L145" s="385">
        <v>5.4030654350415874</v>
      </c>
      <c r="M145" s="385">
        <v>5.4260946538051043</v>
      </c>
      <c r="N145" s="468">
        <v>256.84124526441741</v>
      </c>
      <c r="O145" s="471">
        <v>253.6479333369478</v>
      </c>
    </row>
    <row r="146" spans="1:15" x14ac:dyDescent="0.2">
      <c r="A146" s="11"/>
      <c r="B146" s="102" t="s">
        <v>115</v>
      </c>
      <c r="C146" s="9"/>
      <c r="D146" s="9"/>
      <c r="E146" s="9"/>
      <c r="F146" s="384">
        <v>244</v>
      </c>
      <c r="G146" s="384">
        <v>238</v>
      </c>
      <c r="H146" s="385">
        <v>825374.25</v>
      </c>
      <c r="I146" s="385">
        <v>823107.92</v>
      </c>
      <c r="J146" s="478">
        <v>2.0433145582723139E-3</v>
      </c>
      <c r="K146" s="478">
        <v>2.1083257870058614E-3</v>
      </c>
      <c r="L146" s="385">
        <v>4.8520768972378292</v>
      </c>
      <c r="M146" s="385">
        <v>4.8521582200302475</v>
      </c>
      <c r="N146" s="468">
        <v>138.09970821115391</v>
      </c>
      <c r="O146" s="471">
        <v>137.41738062731798</v>
      </c>
    </row>
    <row r="147" spans="1:15" x14ac:dyDescent="0.2">
      <c r="A147" s="14"/>
      <c r="B147" s="3" t="s">
        <v>43</v>
      </c>
      <c r="C147" s="10"/>
      <c r="D147" s="10"/>
      <c r="E147" s="10"/>
      <c r="F147" s="473">
        <v>51028</v>
      </c>
      <c r="G147" s="473">
        <v>49125</v>
      </c>
      <c r="H147" s="474">
        <v>403938907.32999998</v>
      </c>
      <c r="I147" s="474">
        <v>390408315.96000004</v>
      </c>
      <c r="J147" s="464"/>
      <c r="K147" s="464"/>
      <c r="L147" s="475">
        <v>5.0784264431950827</v>
      </c>
      <c r="M147" s="475">
        <v>5.077871227858564</v>
      </c>
      <c r="N147" s="457">
        <v>195.69789434720067</v>
      </c>
      <c r="O147" s="460">
        <v>195.80029728790922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9"/>
      <c r="B153" s="330"/>
      <c r="C153" s="330"/>
      <c r="D153" s="330"/>
      <c r="E153" s="64"/>
      <c r="F153" s="492" t="s">
        <v>38</v>
      </c>
      <c r="G153" s="493"/>
      <c r="H153" s="204" t="s">
        <v>213</v>
      </c>
      <c r="I153" s="205"/>
      <c r="J153" s="496" t="s">
        <v>50</v>
      </c>
      <c r="K153" s="496"/>
      <c r="L153" s="355" t="s">
        <v>81</v>
      </c>
    </row>
    <row r="154" spans="1:15" x14ac:dyDescent="0.2">
      <c r="A154" s="329"/>
      <c r="B154" s="330"/>
      <c r="C154" s="330"/>
      <c r="D154" s="330"/>
      <c r="E154" s="64"/>
      <c r="F154" s="354" t="s">
        <v>39</v>
      </c>
      <c r="G154" s="354" t="s">
        <v>40</v>
      </c>
      <c r="H154" s="356" t="s">
        <v>39</v>
      </c>
      <c r="I154" s="356" t="s">
        <v>40</v>
      </c>
      <c r="J154" s="356" t="s">
        <v>39</v>
      </c>
      <c r="K154" s="356" t="s">
        <v>40</v>
      </c>
      <c r="L154" s="158"/>
    </row>
    <row r="155" spans="1:15" x14ac:dyDescent="0.2">
      <c r="A155" s="19"/>
      <c r="B155" s="31" t="s">
        <v>48</v>
      </c>
      <c r="C155" s="31"/>
      <c r="D155" s="31"/>
      <c r="E155" s="31"/>
      <c r="F155" s="384">
        <v>3294</v>
      </c>
      <c r="G155" s="384">
        <v>3177</v>
      </c>
      <c r="H155" s="385">
        <v>11708341.710000001</v>
      </c>
      <c r="I155" s="480">
        <v>11282845.939999999</v>
      </c>
      <c r="J155" s="478">
        <v>2.8985426997837599E-2</v>
      </c>
      <c r="K155" s="398">
        <v>2.89001168232185E-2</v>
      </c>
      <c r="L155" s="395">
        <v>3.0056586955400721</v>
      </c>
    </row>
    <row r="156" spans="1:15" x14ac:dyDescent="0.2">
      <c r="A156" s="11"/>
      <c r="B156" s="102" t="s">
        <v>103</v>
      </c>
      <c r="C156" s="9"/>
      <c r="D156" s="9"/>
      <c r="E156" s="9"/>
      <c r="F156" s="384">
        <v>47734</v>
      </c>
      <c r="G156" s="384">
        <v>45948</v>
      </c>
      <c r="H156" s="385">
        <v>392230565.62</v>
      </c>
      <c r="I156" s="480">
        <v>379125470.01999998</v>
      </c>
      <c r="J156" s="478">
        <v>0.97101457300216243</v>
      </c>
      <c r="K156" s="479">
        <v>0.97109988317678153</v>
      </c>
      <c r="L156" s="396">
        <v>2.4490962676314472</v>
      </c>
    </row>
    <row r="157" spans="1:15" x14ac:dyDescent="0.2">
      <c r="A157" s="11"/>
      <c r="B157" s="102" t="s">
        <v>117</v>
      </c>
      <c r="C157" s="9"/>
      <c r="D157" s="9"/>
      <c r="E157" s="9"/>
      <c r="F157" s="384">
        <v>0</v>
      </c>
      <c r="G157" s="384">
        <v>0</v>
      </c>
      <c r="H157" s="385">
        <v>0</v>
      </c>
      <c r="I157" s="385">
        <v>0</v>
      </c>
      <c r="J157" s="478">
        <v>0</v>
      </c>
      <c r="K157" s="479">
        <v>0</v>
      </c>
      <c r="L157" s="396">
        <v>0</v>
      </c>
    </row>
    <row r="158" spans="1:15" ht="13.5" thickBot="1" x14ac:dyDescent="0.25">
      <c r="A158" s="327"/>
      <c r="B158" s="5" t="s">
        <v>19</v>
      </c>
      <c r="C158" s="21"/>
      <c r="D158" s="21"/>
      <c r="E158" s="21"/>
      <c r="F158" s="365">
        <v>51028</v>
      </c>
      <c r="G158" s="365">
        <v>49125</v>
      </c>
      <c r="H158" s="366">
        <v>403938907.32999998</v>
      </c>
      <c r="I158" s="366">
        <v>390408315.95999998</v>
      </c>
      <c r="J158" s="367"/>
      <c r="K158" s="399"/>
      <c r="L158" s="397">
        <v>2.4651809868174204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71"/>
      <c r="C162" s="272"/>
      <c r="D162" s="273"/>
      <c r="E162" s="273"/>
      <c r="F162" s="274" t="s">
        <v>83</v>
      </c>
    </row>
    <row r="163" spans="1:7" s="9" customFormat="1" ht="13.5" thickBot="1" x14ac:dyDescent="0.25">
      <c r="A163" s="275" t="s">
        <v>228</v>
      </c>
      <c r="B163" s="275"/>
      <c r="C163" s="276"/>
      <c r="D163" s="276"/>
      <c r="E163" s="276"/>
      <c r="F163" s="277">
        <v>501454780.45999998</v>
      </c>
    </row>
    <row r="164" spans="1:7" s="9" customFormat="1" x14ac:dyDescent="0.2">
      <c r="A164" s="102"/>
      <c r="B164" s="102"/>
      <c r="C164" s="229"/>
      <c r="D164" s="229"/>
      <c r="E164" s="229"/>
      <c r="F164" s="203"/>
    </row>
    <row r="165" spans="1:7" s="9" customFormat="1" x14ac:dyDescent="0.2">
      <c r="A165" s="102"/>
      <c r="B165" s="102"/>
      <c r="C165" s="278"/>
      <c r="D165" s="279"/>
      <c r="E165" s="279"/>
      <c r="F165" s="203"/>
    </row>
    <row r="166" spans="1:7" s="9" customFormat="1" ht="12.75" customHeight="1" x14ac:dyDescent="0.2">
      <c r="A166" s="494"/>
      <c r="B166" s="494"/>
      <c r="C166" s="494"/>
      <c r="D166" s="494"/>
      <c r="E166" s="494"/>
      <c r="F166" s="494"/>
    </row>
    <row r="167" spans="1:7" s="9" customFormat="1" x14ac:dyDescent="0.2">
      <c r="A167" s="494"/>
      <c r="B167" s="494"/>
      <c r="C167" s="494"/>
      <c r="D167" s="494"/>
      <c r="E167" s="494"/>
      <c r="F167" s="494"/>
    </row>
    <row r="168" spans="1:7" s="9" customFormat="1" x14ac:dyDescent="0.2">
      <c r="A168" s="494"/>
      <c r="B168" s="494"/>
      <c r="C168" s="494"/>
      <c r="D168" s="494"/>
      <c r="E168" s="494"/>
      <c r="F168" s="494"/>
    </row>
    <row r="169" spans="1:7" x14ac:dyDescent="0.2">
      <c r="A169" s="9"/>
      <c r="B169" s="9"/>
      <c r="C169" s="201"/>
      <c r="D169" s="202"/>
      <c r="E169" s="202"/>
      <c r="F169" s="203"/>
      <c r="G169" s="9"/>
    </row>
    <row r="170" spans="1:7" x14ac:dyDescent="0.2">
      <c r="A170" s="494"/>
      <c r="B170" s="494"/>
      <c r="C170" s="494"/>
      <c r="D170" s="494"/>
      <c r="E170" s="494"/>
      <c r="F170" s="494"/>
    </row>
    <row r="171" spans="1:7" x14ac:dyDescent="0.2">
      <c r="A171" s="494"/>
      <c r="B171" s="494"/>
      <c r="C171" s="494"/>
      <c r="D171" s="494"/>
      <c r="E171" s="494"/>
      <c r="F171" s="494"/>
    </row>
    <row r="172" spans="1:7" x14ac:dyDescent="0.2">
      <c r="A172" s="494"/>
      <c r="B172" s="494"/>
      <c r="C172" s="494"/>
      <c r="D172" s="494"/>
      <c r="E172" s="494"/>
      <c r="F172" s="494"/>
    </row>
    <row r="178" spans="6:6" x14ac:dyDescent="0.2">
      <c r="F178" s="59"/>
    </row>
    <row r="180" spans="6:6" x14ac:dyDescent="0.2">
      <c r="F180" s="57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20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2" customWidth="1"/>
    <col min="3" max="3" width="14.42578125" style="132" customWidth="1"/>
    <col min="4" max="4" width="13.140625" style="132" customWidth="1"/>
    <col min="5" max="5" width="12.85546875" style="132" customWidth="1"/>
    <col min="6" max="6" width="11.7109375" style="132" customWidth="1"/>
    <col min="7" max="7" width="15.85546875" style="132" bestFit="1" customWidth="1"/>
    <col min="8" max="8" width="19.28515625" style="132" customWidth="1"/>
    <col min="9" max="9" width="15.140625" style="132" bestFit="1" customWidth="1"/>
    <col min="10" max="11" width="14.42578125" style="132" customWidth="1"/>
    <col min="12" max="12" width="15.7109375" style="132" bestFit="1" customWidth="1"/>
    <col min="13" max="13" width="14.42578125" style="132" customWidth="1"/>
    <col min="14" max="14" width="17.140625" style="132" customWidth="1"/>
    <col min="15" max="15" width="3.7109375" style="132" customWidth="1"/>
    <col min="16" max="16" width="127.42578125" style="132" bestFit="1" customWidth="1"/>
    <col min="17" max="17" width="28.85546875" style="132" bestFit="1" customWidth="1"/>
    <col min="18" max="18" width="15.7109375" style="132" bestFit="1" customWidth="1"/>
    <col min="19" max="19" width="18.28515625" style="132" bestFit="1" customWidth="1"/>
    <col min="20" max="20" width="17.7109375" style="132" bestFit="1" customWidth="1"/>
    <col min="21" max="21" width="14.42578125" style="132" customWidth="1"/>
    <col min="22" max="22" width="13.7109375" style="132" bestFit="1" customWidth="1"/>
    <col min="23" max="23" width="14.140625" style="132" bestFit="1" customWidth="1"/>
    <col min="24" max="24" width="13.140625" style="132" bestFit="1" customWidth="1"/>
    <col min="25" max="38" width="10.85546875" style="132" customWidth="1"/>
    <col min="39" max="39" width="2.7109375" style="132" customWidth="1"/>
    <col min="40" max="16384" width="9.140625" style="132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9"/>
      <c r="T2" s="159"/>
      <c r="U2" s="159"/>
    </row>
    <row r="3" spans="1:39" ht="15.75" x14ac:dyDescent="0.25">
      <c r="A3" s="42" t="str">
        <f>+FFELP!D5</f>
        <v>Indenture No. 9, LLC</v>
      </c>
      <c r="R3" s="159"/>
      <c r="S3" s="159"/>
      <c r="T3" s="159"/>
      <c r="U3" s="159"/>
    </row>
    <row r="4" spans="1:39" ht="13.5" thickBot="1" x14ac:dyDescent="0.25">
      <c r="R4" s="159"/>
      <c r="S4" s="159"/>
      <c r="T4" s="159"/>
      <c r="U4" s="159"/>
    </row>
    <row r="5" spans="1:39" x14ac:dyDescent="0.2">
      <c r="B5" s="518" t="s">
        <v>2</v>
      </c>
      <c r="C5" s="519"/>
      <c r="D5" s="519"/>
      <c r="E5" s="523">
        <f>FFELP!D6</f>
        <v>42485</v>
      </c>
      <c r="F5" s="523"/>
      <c r="G5" s="524"/>
      <c r="R5" s="159"/>
      <c r="S5" s="159"/>
      <c r="T5" s="159"/>
      <c r="U5" s="159"/>
    </row>
    <row r="6" spans="1:39" ht="13.5" thickBot="1" x14ac:dyDescent="0.25">
      <c r="B6" s="520" t="s">
        <v>119</v>
      </c>
      <c r="C6" s="521"/>
      <c r="D6" s="521"/>
      <c r="E6" s="525">
        <f>FFELP!D7</f>
        <v>42460</v>
      </c>
      <c r="F6" s="525"/>
      <c r="G6" s="526"/>
      <c r="R6" s="159"/>
      <c r="S6" s="159"/>
      <c r="T6" s="159"/>
      <c r="U6" s="159"/>
    </row>
    <row r="8" spans="1:39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39" ht="15.75" thickBot="1" x14ac:dyDescent="0.3">
      <c r="A9" s="162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92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39" ht="6" customHeight="1" thickBot="1" x14ac:dyDescent="0.25">
      <c r="A10" s="136"/>
      <c r="B10" s="136"/>
      <c r="C10" s="136"/>
      <c r="D10" s="136"/>
      <c r="E10" s="136"/>
      <c r="F10" s="136"/>
      <c r="G10" s="136"/>
      <c r="H10" s="136"/>
      <c r="J10" s="133"/>
      <c r="K10" s="134"/>
      <c r="L10" s="134"/>
      <c r="M10" s="134"/>
      <c r="N10" s="135"/>
      <c r="O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1:39" ht="18" thickBot="1" x14ac:dyDescent="0.3">
      <c r="A11" s="160" t="s">
        <v>214</v>
      </c>
      <c r="B11" s="161"/>
      <c r="C11" s="161"/>
      <c r="D11" s="161"/>
      <c r="E11" s="161"/>
      <c r="F11" s="161"/>
      <c r="G11" s="161"/>
      <c r="H11" s="192"/>
      <c r="J11" s="94" t="s">
        <v>120</v>
      </c>
      <c r="K11" s="136"/>
      <c r="L11" s="136"/>
      <c r="M11" s="136"/>
      <c r="N11" s="164">
        <f>E6</f>
        <v>42460</v>
      </c>
      <c r="O11" s="165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39" x14ac:dyDescent="0.2">
      <c r="A12" s="94"/>
      <c r="B12" s="136"/>
      <c r="C12" s="136"/>
      <c r="D12" s="136"/>
      <c r="E12" s="136"/>
      <c r="F12" s="136"/>
      <c r="G12" s="136"/>
      <c r="H12" s="166"/>
      <c r="J12" s="137" t="s">
        <v>122</v>
      </c>
      <c r="L12" s="136"/>
      <c r="M12" s="136"/>
      <c r="N12" s="168">
        <v>0</v>
      </c>
      <c r="O12" s="167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1:39" x14ac:dyDescent="0.2">
      <c r="A13" s="137"/>
      <c r="B13" s="136" t="s">
        <v>121</v>
      </c>
      <c r="C13" s="136"/>
      <c r="D13" s="136"/>
      <c r="E13" s="136"/>
      <c r="F13" s="136"/>
      <c r="G13" s="136"/>
      <c r="H13" s="168">
        <f>15007427.29-H16-H17-H20-H18-H19</f>
        <v>8519429.8099999987</v>
      </c>
      <c r="J13" s="93" t="s">
        <v>205</v>
      </c>
      <c r="L13" s="136"/>
      <c r="M13" s="136"/>
      <c r="N13" s="168">
        <v>54828</v>
      </c>
      <c r="O13" s="167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1:39" x14ac:dyDescent="0.2">
      <c r="A14" s="137"/>
      <c r="B14" s="136" t="s">
        <v>123</v>
      </c>
      <c r="C14" s="136"/>
      <c r="D14" s="136"/>
      <c r="E14" s="136"/>
      <c r="F14" s="169"/>
      <c r="G14" s="136"/>
      <c r="H14" s="388">
        <v>0</v>
      </c>
      <c r="J14" s="93" t="s">
        <v>124</v>
      </c>
      <c r="L14" s="136"/>
      <c r="M14" s="136"/>
      <c r="N14" s="168">
        <v>64554.04</v>
      </c>
      <c r="O14" s="16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1:39" x14ac:dyDescent="0.2">
      <c r="A15" s="137"/>
      <c r="B15" s="136" t="s">
        <v>24</v>
      </c>
      <c r="C15" s="136"/>
      <c r="D15" s="136"/>
      <c r="E15" s="136"/>
      <c r="F15" s="136"/>
      <c r="G15" s="136"/>
      <c r="H15" s="388"/>
      <c r="J15" s="93" t="s">
        <v>169</v>
      </c>
      <c r="L15" s="136"/>
      <c r="M15" s="136"/>
      <c r="N15" s="168">
        <v>198511.25</v>
      </c>
      <c r="O15" s="167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x14ac:dyDescent="0.2">
      <c r="A16" s="137"/>
      <c r="B16" s="136"/>
      <c r="C16" s="136" t="s">
        <v>125</v>
      </c>
      <c r="D16" s="136"/>
      <c r="E16" s="136"/>
      <c r="F16" s="136"/>
      <c r="G16" s="136"/>
      <c r="H16" s="168">
        <v>33826.480000000003</v>
      </c>
      <c r="J16" s="93" t="s">
        <v>127</v>
      </c>
      <c r="L16" s="136"/>
      <c r="M16" s="136"/>
      <c r="N16" s="292">
        <v>0</v>
      </c>
      <c r="O16" s="170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1:39" ht="13.5" thickBot="1" x14ac:dyDescent="0.25">
      <c r="A17" s="137"/>
      <c r="B17" s="136" t="s">
        <v>126</v>
      </c>
      <c r="C17" s="136"/>
      <c r="D17" s="136"/>
      <c r="E17" s="136"/>
      <c r="F17" s="136"/>
      <c r="G17" s="136"/>
      <c r="H17" s="388">
        <v>12555.54</v>
      </c>
      <c r="J17" s="171"/>
      <c r="K17" s="5" t="s">
        <v>129</v>
      </c>
      <c r="L17" s="172"/>
      <c r="M17" s="172"/>
      <c r="N17" s="173">
        <f>SUM(N12:N16)</f>
        <v>317893.29000000004</v>
      </c>
      <c r="O17" s="170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1:39" x14ac:dyDescent="0.2">
      <c r="A18" s="137"/>
      <c r="B18" s="136" t="s">
        <v>128</v>
      </c>
      <c r="C18" s="136"/>
      <c r="D18" s="136"/>
      <c r="E18" s="136"/>
      <c r="F18" s="136"/>
      <c r="G18" s="136"/>
      <c r="H18" s="388"/>
      <c r="O18" s="167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x14ac:dyDescent="0.2">
      <c r="A19" s="137"/>
      <c r="B19" s="102" t="s">
        <v>152</v>
      </c>
      <c r="C19" s="136"/>
      <c r="D19" s="136"/>
      <c r="E19" s="136"/>
      <c r="F19" s="136"/>
      <c r="G19" s="136"/>
      <c r="H19" s="388"/>
      <c r="O19" s="170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x14ac:dyDescent="0.2">
      <c r="A20" s="137"/>
      <c r="B20" s="136" t="s">
        <v>130</v>
      </c>
      <c r="C20" s="136"/>
      <c r="D20" s="136"/>
      <c r="E20" s="136"/>
      <c r="F20" s="136"/>
      <c r="G20" s="136"/>
      <c r="H20" s="168">
        <f>N30</f>
        <v>6441615.46</v>
      </c>
      <c r="O20" s="167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x14ac:dyDescent="0.2">
      <c r="A21" s="137"/>
      <c r="B21" s="102" t="s">
        <v>153</v>
      </c>
      <c r="C21" s="136"/>
      <c r="D21" s="136"/>
      <c r="E21" s="136"/>
      <c r="F21" s="136"/>
      <c r="G21" s="136"/>
      <c r="H21" s="388"/>
      <c r="R21" s="17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1:39" ht="13.5" thickBot="1" x14ac:dyDescent="0.25">
      <c r="A22" s="137"/>
      <c r="B22" s="136" t="s">
        <v>154</v>
      </c>
      <c r="C22" s="136"/>
      <c r="D22" s="136"/>
      <c r="E22" s="136"/>
      <c r="F22" s="136"/>
      <c r="G22" s="136"/>
      <c r="H22" s="388"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x14ac:dyDescent="0.2">
      <c r="A23" s="137"/>
      <c r="B23" s="136" t="s">
        <v>132</v>
      </c>
      <c r="C23" s="136"/>
      <c r="D23" s="136"/>
      <c r="E23" s="136"/>
      <c r="F23" s="136"/>
      <c r="G23" s="136"/>
      <c r="H23" s="388"/>
      <c r="I23" s="406"/>
      <c r="J23" s="133" t="s">
        <v>131</v>
      </c>
      <c r="K23" s="134"/>
      <c r="L23" s="134"/>
      <c r="M23" s="134"/>
      <c r="N23" s="311">
        <f>E6</f>
        <v>42460</v>
      </c>
      <c r="O23" s="115"/>
      <c r="S23" s="136"/>
      <c r="T23" s="136"/>
      <c r="U23" s="92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x14ac:dyDescent="0.2">
      <c r="A24" s="137"/>
      <c r="B24" s="136" t="s">
        <v>155</v>
      </c>
      <c r="C24" s="136"/>
      <c r="D24" s="136"/>
      <c r="E24" s="136"/>
      <c r="F24" s="136"/>
      <c r="G24" s="136"/>
      <c r="H24" s="388"/>
      <c r="I24" s="401"/>
      <c r="J24" s="137"/>
      <c r="K24" s="136"/>
      <c r="L24" s="136"/>
      <c r="M24" s="136"/>
      <c r="N24" s="283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x14ac:dyDescent="0.2">
      <c r="A25" s="137"/>
      <c r="B25" s="136" t="s">
        <v>133</v>
      </c>
      <c r="C25" s="136"/>
      <c r="D25" s="136"/>
      <c r="E25" s="136"/>
      <c r="F25" s="136"/>
      <c r="G25" s="136"/>
      <c r="H25" s="168"/>
      <c r="I25" s="402"/>
      <c r="J25" s="301" t="s">
        <v>206</v>
      </c>
      <c r="K25" s="136"/>
      <c r="L25" s="136"/>
      <c r="M25" s="136"/>
      <c r="N25" s="302">
        <v>2796653.68</v>
      </c>
      <c r="P25" s="490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</row>
    <row r="26" spans="1:39" x14ac:dyDescent="0.2">
      <c r="A26" s="137"/>
      <c r="B26" s="136" t="s">
        <v>134</v>
      </c>
      <c r="C26" s="136"/>
      <c r="D26" s="136"/>
      <c r="E26" s="136"/>
      <c r="F26" s="136"/>
      <c r="G26" s="136"/>
      <c r="H26" s="168"/>
      <c r="I26" s="402"/>
      <c r="J26" s="301" t="s">
        <v>207</v>
      </c>
      <c r="K26" s="136"/>
      <c r="L26" s="136"/>
      <c r="M26" s="136"/>
      <c r="N26" s="303">
        <f>+N25+66299539.54</f>
        <v>69096193.219999999</v>
      </c>
      <c r="P26" s="490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x14ac:dyDescent="0.2">
      <c r="A27" s="137"/>
      <c r="B27" s="136" t="s">
        <v>224</v>
      </c>
      <c r="C27" s="136"/>
      <c r="D27" s="136"/>
      <c r="E27" s="136"/>
      <c r="F27" s="136"/>
      <c r="G27" s="136"/>
      <c r="H27" s="388"/>
      <c r="I27" s="403"/>
      <c r="J27" s="301" t="s">
        <v>208</v>
      </c>
      <c r="K27" s="136"/>
      <c r="L27" s="136"/>
      <c r="M27" s="136"/>
      <c r="N27" s="309">
        <f>+N26/FFELP!F163</f>
        <v>0.13779147375285947</v>
      </c>
      <c r="P27" s="491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 x14ac:dyDescent="0.2">
      <c r="A28" s="137"/>
      <c r="B28" s="136"/>
      <c r="C28" s="136"/>
      <c r="D28" s="136"/>
      <c r="E28" s="136"/>
      <c r="F28" s="136"/>
      <c r="G28" s="136"/>
      <c r="H28" s="176"/>
      <c r="I28" s="403"/>
      <c r="J28" s="301" t="s">
        <v>209</v>
      </c>
      <c r="K28" s="136"/>
      <c r="L28" s="136"/>
      <c r="M28" s="136"/>
      <c r="N28" s="305">
        <f>+N26/(+FFELP!I100+FFELP!I101+FFELP!I102+FFELP!I103+FFELP!I104)</f>
        <v>0.177114621554739</v>
      </c>
      <c r="P28" s="491"/>
      <c r="R28" s="177"/>
    </row>
    <row r="29" spans="1:39" x14ac:dyDescent="0.2">
      <c r="A29" s="137"/>
      <c r="B29" s="136"/>
      <c r="C29" s="92" t="s">
        <v>135</v>
      </c>
      <c r="D29" s="136"/>
      <c r="E29" s="136"/>
      <c r="F29" s="136"/>
      <c r="G29" s="136"/>
      <c r="H29" s="178">
        <f>SUM(H13:H28)</f>
        <v>15007427.289999999</v>
      </c>
      <c r="I29" s="402"/>
      <c r="J29" s="310"/>
      <c r="K29" s="136"/>
      <c r="L29" s="136"/>
      <c r="M29" s="136"/>
      <c r="N29" s="303"/>
      <c r="P29" s="491"/>
    </row>
    <row r="30" spans="1:39" ht="13.5" thickBot="1" x14ac:dyDescent="0.25">
      <c r="A30" s="137"/>
      <c r="B30" s="136"/>
      <c r="C30" s="92"/>
      <c r="D30" s="136"/>
      <c r="E30" s="136"/>
      <c r="F30" s="136"/>
      <c r="G30" s="136"/>
      <c r="H30" s="176"/>
      <c r="I30" s="404"/>
      <c r="J30" s="301" t="s">
        <v>210</v>
      </c>
      <c r="K30" s="136"/>
      <c r="L30" s="136"/>
      <c r="M30" s="136"/>
      <c r="N30" s="302">
        <v>6441615.46</v>
      </c>
      <c r="P30" s="491"/>
    </row>
    <row r="31" spans="1:39" x14ac:dyDescent="0.2">
      <c r="A31" s="180" t="s">
        <v>156</v>
      </c>
      <c r="B31" s="181"/>
      <c r="C31" s="182"/>
      <c r="D31" s="181"/>
      <c r="E31" s="181"/>
      <c r="F31" s="181"/>
      <c r="G31" s="181"/>
      <c r="H31" s="183"/>
      <c r="I31" s="402"/>
      <c r="J31" s="301" t="s">
        <v>211</v>
      </c>
      <c r="K31" s="136"/>
      <c r="L31" s="136"/>
      <c r="M31" s="136"/>
      <c r="N31" s="303">
        <v>0</v>
      </c>
      <c r="P31" s="491"/>
    </row>
    <row r="32" spans="1:39" ht="14.25" x14ac:dyDescent="0.2">
      <c r="A32" s="184"/>
      <c r="B32" s="106"/>
      <c r="C32" s="106"/>
      <c r="D32" s="106"/>
      <c r="E32" s="106"/>
      <c r="F32" s="106"/>
      <c r="G32" s="106"/>
      <c r="H32" s="185"/>
      <c r="I32" s="402"/>
      <c r="J32" s="93" t="s">
        <v>157</v>
      </c>
      <c r="K32" s="136"/>
      <c r="L32" s="136"/>
      <c r="M32" s="136"/>
      <c r="N32" s="313">
        <v>64933533.640000001</v>
      </c>
      <c r="P32" s="491"/>
    </row>
    <row r="33" spans="1:19" ht="15" thickBot="1" x14ac:dyDescent="0.25">
      <c r="A33" s="368"/>
      <c r="B33" s="407"/>
      <c r="C33" s="407"/>
      <c r="D33" s="407"/>
      <c r="E33" s="407"/>
      <c r="F33" s="407"/>
      <c r="G33" s="408"/>
      <c r="H33" s="409"/>
      <c r="I33" s="405"/>
      <c r="J33" s="93" t="s">
        <v>158</v>
      </c>
      <c r="K33" s="102"/>
      <c r="L33" s="102"/>
      <c r="M33" s="102"/>
      <c r="N33" s="304">
        <f>+N32/N26</f>
        <v>0.93975558730498754</v>
      </c>
      <c r="P33" s="491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405"/>
      <c r="J34" s="93" t="s">
        <v>136</v>
      </c>
      <c r="K34" s="102"/>
      <c r="L34" s="102"/>
      <c r="M34" s="102"/>
      <c r="N34" s="305">
        <f>+(N26-N32)/FFELP!F163</f>
        <v>8.3011664106212371E-3</v>
      </c>
      <c r="P34" s="491"/>
    </row>
    <row r="35" spans="1:19" s="68" customFormat="1" ht="13.5" thickBot="1" x14ac:dyDescent="0.25">
      <c r="G35" s="186"/>
      <c r="I35" s="400"/>
      <c r="J35" s="410" t="s">
        <v>137</v>
      </c>
      <c r="K35" s="411"/>
      <c r="L35" s="411"/>
      <c r="M35" s="411"/>
      <c r="N35" s="412">
        <v>0</v>
      </c>
      <c r="P35" s="491"/>
    </row>
    <row r="36" spans="1:19" s="68" customFormat="1" x14ac:dyDescent="0.2">
      <c r="H36" s="187"/>
      <c r="J36" s="306" t="s">
        <v>159</v>
      </c>
      <c r="K36" s="307"/>
      <c r="L36" s="307"/>
      <c r="M36" s="307"/>
      <c r="N36" s="308"/>
      <c r="P36" s="132"/>
      <c r="R36" s="190"/>
    </row>
    <row r="37" spans="1:19" s="68" customFormat="1" ht="12" thickBot="1" x14ac:dyDescent="0.25">
      <c r="H37" s="186"/>
      <c r="J37" s="527" t="s">
        <v>173</v>
      </c>
      <c r="K37" s="528"/>
      <c r="L37" s="528"/>
      <c r="M37" s="528"/>
      <c r="N37" s="529"/>
      <c r="O37" s="191"/>
      <c r="P37" s="189"/>
      <c r="R37" s="190"/>
    </row>
    <row r="38" spans="1:19" s="68" customFormat="1" x14ac:dyDescent="0.2">
      <c r="J38" s="1"/>
      <c r="K38" s="92"/>
      <c r="L38" s="136"/>
      <c r="M38" s="136"/>
      <c r="N38" s="136"/>
      <c r="O38" s="136"/>
      <c r="R38" s="186"/>
      <c r="S38" s="190"/>
    </row>
    <row r="39" spans="1:19" ht="13.5" thickBot="1" x14ac:dyDescent="0.25"/>
    <row r="40" spans="1:19" ht="15.75" thickBot="1" x14ac:dyDescent="0.3">
      <c r="A40" s="160" t="s">
        <v>138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92"/>
      <c r="O40" s="136"/>
      <c r="R40" s="179"/>
    </row>
    <row r="41" spans="1:19" ht="15.75" thickBot="1" x14ac:dyDescent="0.3">
      <c r="A41" s="29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76"/>
      <c r="O41" s="136"/>
      <c r="Q41" s="68"/>
      <c r="R41" s="193"/>
    </row>
    <row r="42" spans="1:19" x14ac:dyDescent="0.2">
      <c r="A42" s="16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36"/>
      <c r="S42" s="179"/>
    </row>
    <row r="43" spans="1:19" x14ac:dyDescent="0.2">
      <c r="A43" s="94" t="s">
        <v>160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94" t="s">
        <v>139</v>
      </c>
      <c r="M43" s="138"/>
      <c r="N43" s="195" t="s">
        <v>140</v>
      </c>
      <c r="O43" s="196"/>
      <c r="R43" s="179"/>
    </row>
    <row r="44" spans="1:19" x14ac:dyDescent="0.2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76"/>
      <c r="O44" s="136"/>
    </row>
    <row r="45" spans="1:19" x14ac:dyDescent="0.2">
      <c r="A45" s="137"/>
      <c r="B45" s="221" t="s">
        <v>135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3"/>
      <c r="M45" s="223"/>
      <c r="N45" s="388">
        <v>15007427.289999999</v>
      </c>
      <c r="O45" s="136"/>
      <c r="Q45" s="179"/>
    </row>
    <row r="46" spans="1:19" x14ac:dyDescent="0.2">
      <c r="A46" s="137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3"/>
      <c r="M46" s="223"/>
      <c r="N46" s="224"/>
      <c r="O46" s="167"/>
    </row>
    <row r="47" spans="1:19" x14ac:dyDescent="0.2">
      <c r="A47" s="137"/>
      <c r="B47" s="221" t="s">
        <v>215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93">
        <v>510604</v>
      </c>
      <c r="M47" s="223"/>
      <c r="N47" s="224">
        <f>N45-L47</f>
        <v>14496823.289999999</v>
      </c>
      <c r="O47" s="167"/>
    </row>
    <row r="48" spans="1:19" x14ac:dyDescent="0.2">
      <c r="A48" s="137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93"/>
      <c r="M48" s="223"/>
      <c r="N48" s="224"/>
      <c r="O48" s="167"/>
    </row>
    <row r="49" spans="1:24" x14ac:dyDescent="0.2">
      <c r="A49" s="137"/>
      <c r="B49" s="221" t="s">
        <v>216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93">
        <v>0</v>
      </c>
      <c r="M49" s="223"/>
      <c r="N49" s="224">
        <f>N47-L49</f>
        <v>14496823.289999999</v>
      </c>
      <c r="O49" s="167"/>
    </row>
    <row r="50" spans="1:24" x14ac:dyDescent="0.2">
      <c r="A50" s="137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93"/>
      <c r="M50" s="223"/>
      <c r="N50" s="224"/>
      <c r="O50" s="167"/>
    </row>
    <row r="51" spans="1:24" x14ac:dyDescent="0.2">
      <c r="A51" s="137"/>
      <c r="B51" s="221" t="s">
        <v>217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93">
        <f>N13</f>
        <v>54828</v>
      </c>
      <c r="M51" s="223"/>
      <c r="N51" s="224">
        <f>N49-L51</f>
        <v>14441995.289999999</v>
      </c>
      <c r="O51" s="170"/>
    </row>
    <row r="52" spans="1:24" x14ac:dyDescent="0.2">
      <c r="A52" s="137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93"/>
      <c r="M52" s="223"/>
      <c r="N52" s="224"/>
      <c r="O52" s="167"/>
    </row>
    <row r="53" spans="1:24" x14ac:dyDescent="0.2">
      <c r="A53" s="137"/>
      <c r="B53" s="221" t="s">
        <v>218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93">
        <f>N14</f>
        <v>64554.04</v>
      </c>
      <c r="M53" s="223"/>
      <c r="N53" s="224">
        <f>N51-L53</f>
        <v>14377441.25</v>
      </c>
      <c r="O53" s="167"/>
    </row>
    <row r="54" spans="1:24" x14ac:dyDescent="0.2">
      <c r="A54" s="137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93"/>
      <c r="M54" s="223"/>
      <c r="N54" s="224"/>
      <c r="O54" s="167"/>
    </row>
    <row r="55" spans="1:24" x14ac:dyDescent="0.2">
      <c r="A55" s="137"/>
      <c r="B55" s="221" t="s">
        <v>219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93">
        <v>429895.32</v>
      </c>
      <c r="M55" s="223"/>
      <c r="N55" s="224">
        <f>N53-L55</f>
        <v>13947545.93</v>
      </c>
      <c r="O55" s="167"/>
    </row>
    <row r="56" spans="1:24" x14ac:dyDescent="0.2">
      <c r="A56" s="137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93"/>
      <c r="M56" s="223"/>
      <c r="N56" s="224"/>
      <c r="O56" s="167"/>
    </row>
    <row r="57" spans="1:24" x14ac:dyDescent="0.2">
      <c r="A57" s="137"/>
      <c r="B57" s="221" t="s">
        <v>220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3">
        <v>17144.41</v>
      </c>
      <c r="M57" s="223"/>
      <c r="N57" s="224">
        <f>N55-L57</f>
        <v>13930401.52</v>
      </c>
      <c r="O57" s="167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2">
      <c r="A58" s="137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3"/>
      <c r="M58" s="223"/>
      <c r="N58" s="224"/>
      <c r="O58" s="167"/>
      <c r="P58" s="136"/>
      <c r="Q58" s="295"/>
      <c r="R58" s="136"/>
      <c r="S58" s="522"/>
      <c r="T58" s="522"/>
      <c r="U58" s="136"/>
      <c r="V58" s="136"/>
      <c r="W58" s="136"/>
      <c r="X58" s="136"/>
    </row>
    <row r="59" spans="1:24" x14ac:dyDescent="0.2">
      <c r="A59" s="137"/>
      <c r="B59" s="221" t="s">
        <v>221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3">
        <v>0</v>
      </c>
      <c r="M59" s="223"/>
      <c r="N59" s="224">
        <f>N57-L59</f>
        <v>13930401.52</v>
      </c>
      <c r="O59" s="167"/>
      <c r="P59" s="136"/>
      <c r="Q59" s="136"/>
      <c r="R59" s="136"/>
      <c r="S59" s="102"/>
      <c r="T59" s="136"/>
      <c r="U59" s="136"/>
      <c r="V59" s="136"/>
      <c r="W59" s="136"/>
      <c r="X59" s="136"/>
    </row>
    <row r="60" spans="1:24" x14ac:dyDescent="0.2">
      <c r="A60" s="137"/>
      <c r="B60" s="221"/>
      <c r="C60" s="222"/>
      <c r="D60" s="222"/>
      <c r="E60" s="222"/>
      <c r="F60" s="222"/>
      <c r="G60" s="222"/>
      <c r="H60" s="222"/>
      <c r="I60" s="222"/>
      <c r="J60" s="222"/>
      <c r="K60" s="222"/>
      <c r="L60" s="223"/>
      <c r="M60" s="223"/>
      <c r="N60" s="224"/>
      <c r="O60" s="167"/>
      <c r="P60" s="333"/>
      <c r="Q60" s="102"/>
      <c r="R60" s="102"/>
      <c r="S60" s="296"/>
      <c r="T60" s="167"/>
      <c r="U60" s="136"/>
      <c r="V60" s="167"/>
      <c r="W60" s="167"/>
      <c r="X60" s="167"/>
    </row>
    <row r="61" spans="1:24" x14ac:dyDescent="0.2">
      <c r="A61" s="137"/>
      <c r="B61" s="221" t="s">
        <v>222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3">
        <v>13930401.52</v>
      </c>
      <c r="M61" s="223"/>
      <c r="N61" s="224">
        <f>N59-L61</f>
        <v>0</v>
      </c>
      <c r="O61" s="167"/>
      <c r="P61" s="333"/>
      <c r="Q61" s="102"/>
      <c r="R61" s="102"/>
      <c r="S61" s="296"/>
      <c r="T61" s="167"/>
      <c r="U61" s="136"/>
      <c r="V61" s="167"/>
      <c r="W61" s="167"/>
      <c r="X61" s="167"/>
    </row>
    <row r="62" spans="1:24" x14ac:dyDescent="0.2">
      <c r="A62" s="137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3"/>
      <c r="M62" s="223"/>
      <c r="N62" s="224"/>
      <c r="O62" s="167"/>
      <c r="P62" s="333"/>
      <c r="Q62" s="102"/>
      <c r="R62" s="102"/>
      <c r="S62" s="296"/>
      <c r="T62" s="167"/>
      <c r="U62" s="136"/>
      <c r="V62" s="167"/>
      <c r="W62" s="167"/>
      <c r="X62" s="167"/>
    </row>
    <row r="63" spans="1:24" x14ac:dyDescent="0.2">
      <c r="A63" s="137"/>
      <c r="B63" s="221" t="s">
        <v>270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3">
        <v>0</v>
      </c>
      <c r="M63" s="223"/>
      <c r="N63" s="224">
        <v>0</v>
      </c>
      <c r="O63" s="167"/>
      <c r="P63" s="333"/>
      <c r="Q63" s="102"/>
      <c r="R63" s="102"/>
      <c r="S63" s="296"/>
      <c r="T63" s="167"/>
      <c r="U63" s="136"/>
      <c r="V63" s="167"/>
      <c r="W63" s="167"/>
      <c r="X63" s="167"/>
    </row>
    <row r="64" spans="1:24" x14ac:dyDescent="0.2">
      <c r="A64" s="137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3"/>
      <c r="M64" s="223"/>
      <c r="N64" s="224"/>
      <c r="O64" s="167"/>
      <c r="P64" s="333"/>
      <c r="Q64" s="102"/>
      <c r="R64" s="102"/>
      <c r="S64" s="296"/>
      <c r="T64" s="167"/>
      <c r="U64" s="136"/>
      <c r="V64" s="167"/>
      <c r="W64" s="167"/>
      <c r="X64" s="167"/>
    </row>
    <row r="65" spans="1:24" x14ac:dyDescent="0.2">
      <c r="A65" s="137"/>
      <c r="B65" s="221" t="s">
        <v>271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3">
        <v>0</v>
      </c>
      <c r="M65" s="223"/>
      <c r="N65" s="224">
        <v>0</v>
      </c>
      <c r="O65" s="167"/>
      <c r="P65" s="333"/>
      <c r="Q65" s="102"/>
      <c r="R65" s="102"/>
      <c r="S65" s="296"/>
      <c r="T65" s="167"/>
      <c r="U65" s="136"/>
      <c r="V65" s="167"/>
      <c r="W65" s="167"/>
      <c r="X65" s="167"/>
    </row>
    <row r="66" spans="1:24" x14ac:dyDescent="0.2">
      <c r="A66" s="137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5"/>
      <c r="O66" s="167"/>
      <c r="P66" s="333"/>
      <c r="Q66" s="102"/>
      <c r="R66" s="102"/>
      <c r="S66" s="296"/>
      <c r="T66" s="167"/>
      <c r="U66" s="136"/>
      <c r="V66" s="167"/>
      <c r="W66" s="167"/>
      <c r="X66" s="167"/>
    </row>
    <row r="67" spans="1:24" x14ac:dyDescent="0.2">
      <c r="A67" s="137"/>
      <c r="B67" s="221" t="s">
        <v>272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3">
        <v>0</v>
      </c>
      <c r="M67" s="222"/>
      <c r="N67" s="225"/>
      <c r="O67" s="167"/>
      <c r="P67" s="333"/>
      <c r="Q67" s="102"/>
      <c r="R67" s="102"/>
      <c r="S67" s="296"/>
      <c r="T67" s="167"/>
      <c r="U67" s="136"/>
      <c r="V67" s="167"/>
      <c r="W67" s="167"/>
      <c r="X67" s="167"/>
    </row>
    <row r="68" spans="1:24" x14ac:dyDescent="0.2">
      <c r="A68" s="137"/>
      <c r="B68" s="221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5"/>
      <c r="O68" s="167"/>
      <c r="P68" s="333"/>
      <c r="Q68" s="102"/>
      <c r="R68" s="102"/>
      <c r="S68" s="296"/>
      <c r="T68" s="167"/>
      <c r="U68" s="136"/>
      <c r="V68" s="167"/>
      <c r="W68" s="167"/>
      <c r="X68" s="167"/>
    </row>
    <row r="69" spans="1:24" x14ac:dyDescent="0.2">
      <c r="A69" s="137"/>
      <c r="B69" s="221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5"/>
      <c r="O69" s="167"/>
      <c r="P69" s="333"/>
      <c r="Q69" s="102"/>
      <c r="R69" s="102"/>
      <c r="S69" s="296"/>
      <c r="T69" s="167"/>
      <c r="U69" s="136"/>
      <c r="V69" s="167"/>
      <c r="W69" s="167"/>
      <c r="X69" s="167"/>
    </row>
    <row r="70" spans="1:24" x14ac:dyDescent="0.2">
      <c r="A70" s="137"/>
      <c r="B70" s="226"/>
      <c r="C70" s="227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5"/>
      <c r="O70" s="167"/>
      <c r="P70" s="334"/>
      <c r="Q70" s="102"/>
      <c r="R70" s="102"/>
      <c r="S70" s="296"/>
      <c r="T70" s="167"/>
      <c r="U70" s="136"/>
      <c r="V70" s="167"/>
      <c r="W70" s="136"/>
      <c r="X70" s="136"/>
    </row>
    <row r="71" spans="1:24" x14ac:dyDescent="0.2">
      <c r="A71" s="2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5"/>
      <c r="O71" s="167"/>
      <c r="P71" s="333"/>
      <c r="Q71" s="102"/>
      <c r="R71" s="102"/>
      <c r="S71" s="296"/>
      <c r="T71" s="167"/>
      <c r="U71" s="136"/>
      <c r="V71" s="167"/>
      <c r="W71" s="136"/>
      <c r="X71" s="136"/>
    </row>
    <row r="72" spans="1:24" ht="13.5" thickBot="1" x14ac:dyDescent="0.25">
      <c r="A72" s="9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91"/>
      <c r="O72" s="167"/>
      <c r="P72" s="334"/>
      <c r="Q72" s="102"/>
      <c r="R72" s="102"/>
      <c r="S72" s="207"/>
      <c r="T72" s="167"/>
      <c r="U72" s="136"/>
      <c r="V72" s="167"/>
      <c r="W72" s="136"/>
      <c r="X72" s="136"/>
    </row>
    <row r="73" spans="1:24" ht="13.5" thickBot="1" x14ac:dyDescent="0.25">
      <c r="A73" s="137"/>
      <c r="B73" s="92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67"/>
      <c r="P73" s="102"/>
      <c r="Q73" s="92"/>
      <c r="R73" s="92"/>
      <c r="S73" s="203"/>
      <c r="T73" s="203"/>
      <c r="U73" s="136"/>
      <c r="V73" s="136"/>
      <c r="W73" s="136"/>
      <c r="X73" s="136"/>
    </row>
    <row r="74" spans="1:24" x14ac:dyDescent="0.2">
      <c r="A74" s="133" t="s">
        <v>141</v>
      </c>
      <c r="B74" s="134"/>
      <c r="C74" s="134"/>
      <c r="D74" s="134"/>
      <c r="E74" s="134"/>
      <c r="F74" s="134"/>
      <c r="G74" s="289" t="s">
        <v>170</v>
      </c>
      <c r="H74" s="289" t="s">
        <v>204</v>
      </c>
      <c r="I74" s="290" t="s">
        <v>161</v>
      </c>
      <c r="J74" s="136"/>
      <c r="K74" s="136"/>
      <c r="L74" s="136"/>
      <c r="M74" s="136"/>
      <c r="N74" s="136"/>
      <c r="O74" s="167"/>
      <c r="P74" s="333"/>
      <c r="Q74" s="102"/>
      <c r="R74" s="102"/>
      <c r="S74" s="207"/>
      <c r="T74" s="167"/>
      <c r="U74" s="136"/>
      <c r="V74" s="136"/>
      <c r="W74" s="136"/>
      <c r="X74" s="136"/>
    </row>
    <row r="75" spans="1:24" x14ac:dyDescent="0.2">
      <c r="A75" s="137"/>
      <c r="B75" s="136"/>
      <c r="C75" s="136"/>
      <c r="D75" s="136"/>
      <c r="E75" s="136"/>
      <c r="F75" s="136"/>
      <c r="G75" s="281"/>
      <c r="H75" s="281"/>
      <c r="I75" s="176"/>
      <c r="J75" s="136"/>
      <c r="K75" s="136"/>
      <c r="L75" s="136"/>
      <c r="M75" s="136"/>
      <c r="N75" s="136"/>
      <c r="O75" s="167"/>
      <c r="P75" s="334"/>
      <c r="Q75" s="102"/>
      <c r="R75" s="102"/>
      <c r="S75" s="207"/>
      <c r="T75" s="167"/>
      <c r="U75" s="136"/>
      <c r="V75" s="136"/>
      <c r="W75" s="136"/>
      <c r="X75" s="136"/>
    </row>
    <row r="76" spans="1:24" x14ac:dyDescent="0.2">
      <c r="A76" s="137"/>
      <c r="B76" s="136" t="s">
        <v>162</v>
      </c>
      <c r="C76" s="136"/>
      <c r="D76" s="136"/>
      <c r="E76" s="136"/>
      <c r="F76" s="136"/>
      <c r="G76" s="282">
        <f>L55</f>
        <v>429895.32</v>
      </c>
      <c r="H76" s="282">
        <f>L57</f>
        <v>17144.41</v>
      </c>
      <c r="I76" s="283">
        <f>SUM(G76:H76)</f>
        <v>447039.73</v>
      </c>
      <c r="J76" s="136"/>
      <c r="K76" s="136"/>
      <c r="L76" s="136"/>
      <c r="M76" s="136"/>
      <c r="N76" s="136"/>
      <c r="O76" s="167"/>
      <c r="P76" s="334"/>
      <c r="Q76" s="102"/>
      <c r="R76" s="102"/>
      <c r="S76" s="207"/>
      <c r="T76" s="167"/>
      <c r="U76" s="136"/>
      <c r="V76" s="136"/>
      <c r="W76" s="136"/>
      <c r="X76" s="136"/>
    </row>
    <row r="77" spans="1:24" x14ac:dyDescent="0.2">
      <c r="A77" s="137"/>
      <c r="B77" s="136" t="s">
        <v>163</v>
      </c>
      <c r="C77" s="136"/>
      <c r="D77" s="136"/>
      <c r="E77" s="136"/>
      <c r="F77" s="136"/>
      <c r="G77" s="284">
        <f>+G76</f>
        <v>429895.32</v>
      </c>
      <c r="H77" s="284">
        <f>+H76</f>
        <v>17144.41</v>
      </c>
      <c r="I77" s="285">
        <f>SUM(G77:H77)</f>
        <v>447039.73</v>
      </c>
      <c r="J77" s="136"/>
      <c r="K77" s="136"/>
      <c r="L77" s="136"/>
      <c r="M77" s="136"/>
      <c r="N77" s="136"/>
      <c r="O77" s="167"/>
      <c r="P77" s="136"/>
      <c r="Q77" s="92"/>
      <c r="R77" s="92"/>
      <c r="S77" s="203"/>
      <c r="T77" s="297"/>
      <c r="U77" s="136"/>
      <c r="V77" s="136"/>
      <c r="W77" s="136"/>
      <c r="X77" s="136"/>
    </row>
    <row r="78" spans="1:24" x14ac:dyDescent="0.2">
      <c r="A78" s="137"/>
      <c r="B78" s="136"/>
      <c r="C78" s="102" t="s">
        <v>174</v>
      </c>
      <c r="D78" s="136"/>
      <c r="E78" s="136"/>
      <c r="F78" s="136"/>
      <c r="G78" s="282">
        <v>0</v>
      </c>
      <c r="H78" s="282">
        <v>0</v>
      </c>
      <c r="I78" s="283">
        <f>+I77-I76</f>
        <v>0</v>
      </c>
      <c r="J78" s="136"/>
      <c r="K78" s="136"/>
      <c r="L78" s="136"/>
      <c r="M78" s="136"/>
      <c r="N78" s="136"/>
      <c r="O78" s="167"/>
      <c r="P78" s="136"/>
      <c r="Q78" s="102"/>
      <c r="R78" s="298"/>
      <c r="S78" s="167"/>
      <c r="T78" s="167"/>
      <c r="U78" s="136"/>
      <c r="V78" s="136"/>
      <c r="W78" s="136"/>
      <c r="X78" s="136"/>
    </row>
    <row r="79" spans="1:24" x14ac:dyDescent="0.2">
      <c r="A79" s="137"/>
      <c r="B79" s="136"/>
      <c r="C79" s="136"/>
      <c r="D79" s="136"/>
      <c r="E79" s="136"/>
      <c r="F79" s="136"/>
      <c r="G79" s="281"/>
      <c r="H79" s="281"/>
      <c r="I79" s="176"/>
      <c r="J79" s="136"/>
      <c r="K79" s="136"/>
      <c r="L79" s="136"/>
      <c r="M79" s="136"/>
      <c r="N79" s="136"/>
      <c r="O79" s="167"/>
      <c r="P79" s="136"/>
      <c r="Q79" s="92"/>
      <c r="R79" s="92"/>
      <c r="S79" s="297"/>
      <c r="T79" s="297"/>
      <c r="U79" s="102"/>
      <c r="V79" s="136"/>
      <c r="W79" s="136"/>
      <c r="X79" s="136"/>
    </row>
    <row r="80" spans="1:24" x14ac:dyDescent="0.2">
      <c r="A80" s="137"/>
      <c r="B80" s="136" t="s">
        <v>142</v>
      </c>
      <c r="C80" s="136"/>
      <c r="D80" s="136"/>
      <c r="E80" s="136"/>
      <c r="F80" s="136"/>
      <c r="G80" s="286">
        <v>0</v>
      </c>
      <c r="H80" s="286">
        <v>0</v>
      </c>
      <c r="I80" s="283">
        <f>SUM(G80:H80)</f>
        <v>0</v>
      </c>
      <c r="J80" s="136"/>
      <c r="K80" s="136"/>
      <c r="L80" s="136"/>
      <c r="M80" s="136"/>
      <c r="N80" s="136"/>
      <c r="O80" s="167"/>
      <c r="P80" s="136"/>
      <c r="Q80" s="136"/>
      <c r="R80" s="136"/>
      <c r="S80" s="136"/>
      <c r="T80" s="175"/>
      <c r="U80" s="136"/>
      <c r="V80" s="136"/>
      <c r="W80" s="136"/>
      <c r="X80" s="136"/>
    </row>
    <row r="81" spans="1:24" x14ac:dyDescent="0.2">
      <c r="A81" s="137"/>
      <c r="B81" s="136" t="s">
        <v>143</v>
      </c>
      <c r="C81" s="136"/>
      <c r="D81" s="136"/>
      <c r="E81" s="136"/>
      <c r="F81" s="136"/>
      <c r="G81" s="287">
        <f>G80</f>
        <v>0</v>
      </c>
      <c r="H81" s="287">
        <f>H80</f>
        <v>0</v>
      </c>
      <c r="I81" s="285">
        <f>SUM(G81:H81)</f>
        <v>0</v>
      </c>
      <c r="J81" s="136"/>
      <c r="K81" s="136"/>
      <c r="L81" s="136"/>
      <c r="M81" s="136"/>
      <c r="N81" s="136"/>
      <c r="O81" s="167"/>
      <c r="P81" s="136"/>
      <c r="Q81" s="136"/>
      <c r="R81" s="136"/>
      <c r="S81" s="136"/>
      <c r="T81" s="175"/>
      <c r="U81" s="136"/>
      <c r="V81" s="136"/>
      <c r="W81" s="136"/>
      <c r="X81" s="136"/>
    </row>
    <row r="82" spans="1:24" x14ac:dyDescent="0.2">
      <c r="A82" s="137"/>
      <c r="B82" s="136"/>
      <c r="C82" s="136" t="s">
        <v>144</v>
      </c>
      <c r="D82" s="136"/>
      <c r="E82" s="136"/>
      <c r="F82" s="136"/>
      <c r="G82" s="286">
        <v>0</v>
      </c>
      <c r="H82" s="286"/>
      <c r="I82" s="283">
        <f>+I81-I80</f>
        <v>0</v>
      </c>
      <c r="J82" s="136"/>
      <c r="K82" s="136"/>
      <c r="L82" s="136"/>
      <c r="M82" s="136"/>
      <c r="N82" s="136"/>
      <c r="O82" s="167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x14ac:dyDescent="0.2">
      <c r="A83" s="137"/>
      <c r="B83" s="136"/>
      <c r="C83" s="136"/>
      <c r="D83" s="136"/>
      <c r="E83" s="136"/>
      <c r="F83" s="136"/>
      <c r="G83" s="281"/>
      <c r="H83" s="281"/>
      <c r="I83" s="176"/>
      <c r="J83" s="136"/>
      <c r="K83" s="136"/>
      <c r="L83" s="136"/>
      <c r="M83" s="136"/>
      <c r="N83" s="136"/>
      <c r="O83" s="167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x14ac:dyDescent="0.2">
      <c r="A84" s="137"/>
      <c r="B84" s="136" t="s">
        <v>164</v>
      </c>
      <c r="C84" s="136"/>
      <c r="D84" s="136"/>
      <c r="E84" s="136"/>
      <c r="F84" s="136"/>
      <c r="G84" s="282">
        <f>L61</f>
        <v>13930401.52</v>
      </c>
      <c r="H84" s="282">
        <v>0</v>
      </c>
      <c r="I84" s="283">
        <f>SUM(G84:H84)</f>
        <v>13930401.52</v>
      </c>
      <c r="J84" s="136"/>
      <c r="K84" s="136"/>
      <c r="L84" s="136"/>
      <c r="M84" s="136"/>
      <c r="N84" s="136"/>
      <c r="O84" s="167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x14ac:dyDescent="0.2">
      <c r="A85" s="137"/>
      <c r="B85" s="136" t="s">
        <v>165</v>
      </c>
      <c r="C85" s="136"/>
      <c r="D85" s="136"/>
      <c r="E85" s="136"/>
      <c r="F85" s="136"/>
      <c r="G85" s="284">
        <f>G84</f>
        <v>13930401.52</v>
      </c>
      <c r="H85" s="287">
        <f>H84</f>
        <v>0</v>
      </c>
      <c r="I85" s="285">
        <f>SUM(G85:H85)</f>
        <v>13930401.52</v>
      </c>
      <c r="J85" s="136"/>
      <c r="K85" s="136"/>
      <c r="L85" s="136"/>
      <c r="M85" s="136"/>
      <c r="N85" s="136"/>
      <c r="O85" s="167"/>
      <c r="P85" s="103"/>
    </row>
    <row r="86" spans="1:24" x14ac:dyDescent="0.2">
      <c r="A86" s="137"/>
      <c r="B86" s="136"/>
      <c r="C86" s="102" t="s">
        <v>166</v>
      </c>
      <c r="D86" s="136"/>
      <c r="E86" s="136"/>
      <c r="F86" s="136"/>
      <c r="G86" s="282">
        <f>+G85-G84</f>
        <v>0</v>
      </c>
      <c r="H86" s="282">
        <f>+H85-H84</f>
        <v>0</v>
      </c>
      <c r="I86" s="283">
        <f>+I85-I84</f>
        <v>0</v>
      </c>
      <c r="J86" s="136"/>
      <c r="K86" s="136"/>
      <c r="L86" s="136"/>
      <c r="M86" s="136"/>
      <c r="N86" s="136"/>
      <c r="O86" s="167"/>
    </row>
    <row r="87" spans="1:24" s="68" customFormat="1" x14ac:dyDescent="0.2">
      <c r="A87" s="137"/>
      <c r="B87" s="136"/>
      <c r="C87" s="136"/>
      <c r="D87" s="136"/>
      <c r="E87" s="136"/>
      <c r="F87" s="136"/>
      <c r="G87" s="281"/>
      <c r="H87" s="281"/>
      <c r="I87" s="176"/>
      <c r="J87" s="106"/>
      <c r="K87" s="106"/>
      <c r="L87" s="106"/>
      <c r="M87" s="106"/>
      <c r="N87" s="106"/>
      <c r="O87" s="136"/>
      <c r="Q87" s="132"/>
      <c r="R87" s="132"/>
      <c r="S87" s="132"/>
      <c r="T87" s="132"/>
      <c r="U87" s="132"/>
    </row>
    <row r="88" spans="1:24" x14ac:dyDescent="0.2">
      <c r="A88" s="137"/>
      <c r="B88" s="136"/>
      <c r="C88" s="92" t="s">
        <v>145</v>
      </c>
      <c r="D88" s="136"/>
      <c r="E88" s="136"/>
      <c r="F88" s="136"/>
      <c r="G88" s="282">
        <f>+G77+G85</f>
        <v>14360296.84</v>
      </c>
      <c r="H88" s="282">
        <f>+H77+H85</f>
        <v>17144.41</v>
      </c>
      <c r="I88" s="283">
        <f>+I85+I77</f>
        <v>14377441.25</v>
      </c>
      <c r="J88" s="136"/>
      <c r="K88" s="136"/>
      <c r="L88" s="136"/>
      <c r="M88" s="136"/>
      <c r="N88" s="136"/>
      <c r="O88" s="136"/>
      <c r="P88" s="136"/>
      <c r="Q88" s="106"/>
      <c r="R88" s="106"/>
      <c r="S88" s="106"/>
      <c r="T88" s="106"/>
      <c r="U88" s="106"/>
    </row>
    <row r="89" spans="1:24" x14ac:dyDescent="0.2">
      <c r="A89" s="137"/>
      <c r="B89" s="136"/>
      <c r="C89" s="136"/>
      <c r="D89" s="136"/>
      <c r="E89" s="136"/>
      <c r="F89" s="136"/>
      <c r="G89" s="281"/>
      <c r="H89" s="281"/>
      <c r="I89" s="17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4" ht="13.5" thickBot="1" x14ac:dyDescent="0.25">
      <c r="A90" s="171"/>
      <c r="B90" s="172"/>
      <c r="C90" s="172"/>
      <c r="D90" s="172"/>
      <c r="E90" s="172"/>
      <c r="F90" s="172"/>
      <c r="G90" s="288"/>
      <c r="H90" s="288"/>
      <c r="I90" s="197"/>
      <c r="O90" s="136"/>
      <c r="P90" s="136"/>
      <c r="Q90" s="136"/>
      <c r="R90" s="136"/>
      <c r="S90" s="136"/>
      <c r="T90" s="136"/>
      <c r="U90" s="136"/>
    </row>
    <row r="91" spans="1:24" x14ac:dyDescent="0.2">
      <c r="O91" s="136"/>
      <c r="P91" s="136"/>
      <c r="Q91" s="294"/>
      <c r="R91" s="136"/>
      <c r="S91" s="136"/>
      <c r="T91" s="136"/>
      <c r="U91" s="136"/>
    </row>
    <row r="92" spans="1:24" x14ac:dyDescent="0.2">
      <c r="O92" s="136"/>
      <c r="P92" s="208"/>
      <c r="Q92" s="208"/>
      <c r="R92" s="136"/>
      <c r="S92" s="136"/>
      <c r="T92" s="136"/>
      <c r="U92" s="136"/>
    </row>
    <row r="93" spans="1:24" x14ac:dyDescent="0.2">
      <c r="O93" s="188"/>
      <c r="P93" s="208"/>
      <c r="Q93" s="208"/>
      <c r="R93" s="136"/>
      <c r="S93" s="136"/>
      <c r="T93" s="136"/>
      <c r="U93" s="136"/>
    </row>
    <row r="94" spans="1:24" x14ac:dyDescent="0.2">
      <c r="O94" s="188"/>
      <c r="P94" s="208"/>
      <c r="Q94" s="208"/>
      <c r="R94" s="136"/>
      <c r="S94" s="136"/>
      <c r="T94" s="136"/>
      <c r="U94" s="136"/>
    </row>
    <row r="95" spans="1:24" x14ac:dyDescent="0.2">
      <c r="O95" s="136"/>
      <c r="P95" s="175"/>
      <c r="Q95" s="175"/>
      <c r="R95" s="136"/>
      <c r="S95" s="136"/>
      <c r="T95" s="136"/>
      <c r="U95" s="136"/>
    </row>
    <row r="96" spans="1:24" x14ac:dyDescent="0.2">
      <c r="O96" s="136"/>
      <c r="P96" s="175"/>
      <c r="Q96" s="175"/>
      <c r="R96" s="175"/>
      <c r="S96" s="136"/>
      <c r="T96" s="136"/>
      <c r="U96" s="136"/>
    </row>
    <row r="97" spans="15:21" x14ac:dyDescent="0.2">
      <c r="O97" s="136"/>
      <c r="P97" s="136"/>
      <c r="Q97" s="136"/>
      <c r="R97" s="136"/>
      <c r="S97" s="136"/>
      <c r="T97" s="136"/>
      <c r="U97" s="136"/>
    </row>
    <row r="98" spans="15:21" x14ac:dyDescent="0.2">
      <c r="O98" s="136"/>
      <c r="P98" s="136"/>
      <c r="Q98" s="136"/>
      <c r="R98" s="136"/>
      <c r="S98" s="136"/>
      <c r="T98" s="136"/>
      <c r="U98" s="136"/>
    </row>
    <row r="241" spans="4:5" x14ac:dyDescent="0.2">
      <c r="D241" s="198"/>
      <c r="E241" s="198"/>
    </row>
    <row r="242" spans="4:5" x14ac:dyDescent="0.2">
      <c r="D242" s="198"/>
      <c r="E242" s="19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51" t="s">
        <v>235</v>
      </c>
      <c r="B1" s="252"/>
    </row>
    <row r="2" spans="1:3" x14ac:dyDescent="0.2">
      <c r="A2" s="251" t="s">
        <v>180</v>
      </c>
      <c r="B2" s="252"/>
    </row>
    <row r="3" spans="1:3" x14ac:dyDescent="0.2">
      <c r="A3" s="253">
        <v>42460</v>
      </c>
      <c r="B3" s="252"/>
    </row>
    <row r="4" spans="1:3" x14ac:dyDescent="0.2">
      <c r="A4" s="251" t="s">
        <v>233</v>
      </c>
      <c r="B4" s="252"/>
    </row>
    <row r="7" spans="1:3" x14ac:dyDescent="0.2">
      <c r="A7" s="254" t="s">
        <v>181</v>
      </c>
    </row>
    <row r="9" spans="1:3" x14ac:dyDescent="0.2">
      <c r="A9" s="255" t="s">
        <v>182</v>
      </c>
      <c r="B9" s="383">
        <f>30554414.37+1009847.27</f>
        <v>31564261.640000001</v>
      </c>
      <c r="C9" s="256"/>
    </row>
    <row r="10" spans="1:3" x14ac:dyDescent="0.2">
      <c r="A10" s="255" t="s">
        <v>183</v>
      </c>
      <c r="B10" s="257"/>
      <c r="C10" s="256"/>
    </row>
    <row r="11" spans="1:3" x14ac:dyDescent="0.2">
      <c r="A11" s="255" t="s">
        <v>184</v>
      </c>
      <c r="B11" s="258"/>
      <c r="C11" s="256"/>
    </row>
    <row r="12" spans="1:3" x14ac:dyDescent="0.2">
      <c r="A12" s="255" t="s">
        <v>185</v>
      </c>
      <c r="B12" s="258">
        <v>387324255.57999998</v>
      </c>
      <c r="C12" s="256"/>
    </row>
    <row r="13" spans="1:3" x14ac:dyDescent="0.2">
      <c r="A13" s="255" t="s">
        <v>186</v>
      </c>
      <c r="B13" s="258">
        <v>-11180631.92</v>
      </c>
      <c r="C13" s="256"/>
    </row>
    <row r="14" spans="1:3" x14ac:dyDescent="0.2">
      <c r="A14" s="255" t="s">
        <v>187</v>
      </c>
      <c r="B14" s="259">
        <f>SUM(B12:B13)</f>
        <v>376143623.65999997</v>
      </c>
      <c r="C14" s="256"/>
    </row>
    <row r="15" spans="1:3" x14ac:dyDescent="0.2">
      <c r="A15" s="255"/>
      <c r="B15" s="258"/>
      <c r="C15" s="256"/>
    </row>
    <row r="16" spans="1:3" x14ac:dyDescent="0.2">
      <c r="A16" s="255" t="s">
        <v>188</v>
      </c>
      <c r="B16" s="258">
        <v>10350547.83</v>
      </c>
      <c r="C16" s="256"/>
    </row>
    <row r="17" spans="1:3" x14ac:dyDescent="0.2">
      <c r="A17" s="255" t="s">
        <v>189</v>
      </c>
      <c r="B17" s="258">
        <f>73281.39+452628.53</f>
        <v>525909.92000000004</v>
      </c>
      <c r="C17" s="256"/>
    </row>
    <row r="18" spans="1:3" x14ac:dyDescent="0.2">
      <c r="A18" s="255" t="s">
        <v>190</v>
      </c>
      <c r="B18" s="258">
        <v>2967091.45</v>
      </c>
      <c r="C18" s="256"/>
    </row>
    <row r="19" spans="1:3" x14ac:dyDescent="0.2">
      <c r="A19" s="255" t="s">
        <v>191</v>
      </c>
      <c r="B19" s="258"/>
      <c r="C19" s="256"/>
    </row>
    <row r="20" spans="1:3" x14ac:dyDescent="0.2">
      <c r="A20" s="256"/>
      <c r="B20" s="260"/>
      <c r="C20" s="256"/>
    </row>
    <row r="21" spans="1:3" ht="13.5" thickBot="1" x14ac:dyDescent="0.25">
      <c r="A21" s="261" t="s">
        <v>26</v>
      </c>
      <c r="B21" s="262">
        <f>B9+B14+B16+B19+B17+B18</f>
        <v>421551434.49999994</v>
      </c>
      <c r="C21" s="256"/>
    </row>
    <row r="22" spans="1:3" ht="13.5" thickTop="1" x14ac:dyDescent="0.2">
      <c r="A22" s="256"/>
      <c r="B22" s="257"/>
      <c r="C22" s="256"/>
    </row>
    <row r="23" spans="1:3" x14ac:dyDescent="0.2">
      <c r="A23" s="256"/>
      <c r="B23" s="257"/>
      <c r="C23" s="256"/>
    </row>
    <row r="24" spans="1:3" x14ac:dyDescent="0.2">
      <c r="A24" s="261" t="s">
        <v>192</v>
      </c>
      <c r="B24" s="257"/>
      <c r="C24" s="256"/>
    </row>
    <row r="25" spans="1:3" x14ac:dyDescent="0.2">
      <c r="A25" s="256"/>
      <c r="B25" s="257"/>
      <c r="C25" s="256"/>
    </row>
    <row r="26" spans="1:3" x14ac:dyDescent="0.2">
      <c r="A26" s="255" t="s">
        <v>193</v>
      </c>
      <c r="B26" s="263"/>
      <c r="C26" s="256"/>
    </row>
    <row r="27" spans="1:3" x14ac:dyDescent="0.2">
      <c r="A27" s="255" t="s">
        <v>194</v>
      </c>
      <c r="B27" s="263">
        <v>413704635.12</v>
      </c>
      <c r="C27" s="256"/>
    </row>
    <row r="28" spans="1:3" x14ac:dyDescent="0.2">
      <c r="A28" s="255" t="s">
        <v>195</v>
      </c>
      <c r="B28" s="258">
        <v>447039.73</v>
      </c>
      <c r="C28" s="256"/>
    </row>
    <row r="29" spans="1:3" x14ac:dyDescent="0.2">
      <c r="A29" s="255" t="s">
        <v>196</v>
      </c>
      <c r="B29" s="258">
        <f>-B28+2303464.36</f>
        <v>1856424.63</v>
      </c>
      <c r="C29" s="256"/>
    </row>
    <row r="30" spans="1:3" x14ac:dyDescent="0.2">
      <c r="A30" s="255" t="s">
        <v>197</v>
      </c>
      <c r="B30" s="258"/>
      <c r="C30" s="256"/>
    </row>
    <row r="31" spans="1:3" x14ac:dyDescent="0.2">
      <c r="A31" s="255" t="s">
        <v>198</v>
      </c>
      <c r="B31" s="258"/>
      <c r="C31" s="256"/>
    </row>
    <row r="32" spans="1:3" x14ac:dyDescent="0.2">
      <c r="A32" s="256"/>
      <c r="B32" s="260"/>
      <c r="C32" s="256"/>
    </row>
    <row r="33" spans="1:3" ht="13.5" thickBot="1" x14ac:dyDescent="0.25">
      <c r="A33" s="255" t="s">
        <v>199</v>
      </c>
      <c r="B33" s="264">
        <f>SUM(B26:B32)</f>
        <v>416008099.48000002</v>
      </c>
      <c r="C33" s="256"/>
    </row>
    <row r="34" spans="1:3" ht="13.5" thickTop="1" x14ac:dyDescent="0.2">
      <c r="A34" s="256"/>
      <c r="B34" s="265"/>
      <c r="C34" s="256"/>
    </row>
    <row r="35" spans="1:3" x14ac:dyDescent="0.2">
      <c r="A35" s="261" t="s">
        <v>200</v>
      </c>
      <c r="B35" s="266">
        <v>5543335.0199999996</v>
      </c>
      <c r="C35" s="256"/>
    </row>
    <row r="36" spans="1:3" x14ac:dyDescent="0.2">
      <c r="A36" s="256"/>
      <c r="B36" s="257"/>
      <c r="C36" s="256"/>
    </row>
    <row r="37" spans="1:3" ht="13.5" thickBot="1" x14ac:dyDescent="0.25">
      <c r="A37" s="261" t="s">
        <v>201</v>
      </c>
      <c r="B37" s="262">
        <f>+B33+B35</f>
        <v>421551434.5</v>
      </c>
      <c r="C37" s="256"/>
    </row>
    <row r="38" spans="1:3" ht="13.5" thickTop="1" x14ac:dyDescent="0.2">
      <c r="A38" s="256"/>
      <c r="B38" s="257"/>
      <c r="C38" s="256"/>
    </row>
    <row r="39" spans="1:3" x14ac:dyDescent="0.2">
      <c r="A39" s="256"/>
      <c r="B39" s="351">
        <f>B21-B37</f>
        <v>0</v>
      </c>
      <c r="C39" s="256"/>
    </row>
    <row r="40" spans="1:3" x14ac:dyDescent="0.2">
      <c r="B40" s="267"/>
    </row>
    <row r="41" spans="1:3" x14ac:dyDescent="0.2">
      <c r="A41" s="268" t="s">
        <v>202</v>
      </c>
      <c r="B41" s="269"/>
      <c r="C41" s="268"/>
    </row>
    <row r="42" spans="1:3" x14ac:dyDescent="0.2">
      <c r="A42" s="268" t="s">
        <v>203</v>
      </c>
      <c r="B42" s="269"/>
      <c r="C42" s="268"/>
    </row>
    <row r="43" spans="1:3" x14ac:dyDescent="0.2">
      <c r="A43" s="270"/>
      <c r="B43" s="267"/>
      <c r="C43" s="270"/>
    </row>
    <row r="44" spans="1:3" x14ac:dyDescent="0.2">
      <c r="B44" s="267"/>
    </row>
    <row r="45" spans="1:3" x14ac:dyDescent="0.2">
      <c r="B45" s="267"/>
    </row>
    <row r="46" spans="1:3" x14ac:dyDescent="0.2">
      <c r="B46" s="267"/>
    </row>
    <row r="47" spans="1:3" x14ac:dyDescent="0.2">
      <c r="B47" s="26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21" t="s">
        <v>235</v>
      </c>
      <c r="D1" s="422"/>
      <c r="E1" s="136"/>
      <c r="F1" s="136"/>
    </row>
    <row r="2" spans="1:6" x14ac:dyDescent="0.2">
      <c r="A2" s="421" t="s">
        <v>240</v>
      </c>
      <c r="E2" s="423"/>
    </row>
    <row r="3" spans="1:6" x14ac:dyDescent="0.2">
      <c r="E3" s="198"/>
    </row>
    <row r="4" spans="1:6" x14ac:dyDescent="0.2">
      <c r="B4" s="421" t="s">
        <v>241</v>
      </c>
      <c r="E4" s="424"/>
      <c r="F4" s="425"/>
    </row>
    <row r="5" spans="1:6" x14ac:dyDescent="0.2">
      <c r="C5" t="s">
        <v>242</v>
      </c>
      <c r="E5" s="426" t="s">
        <v>273</v>
      </c>
    </row>
    <row r="6" spans="1:6" x14ac:dyDescent="0.2">
      <c r="C6" t="s">
        <v>2</v>
      </c>
      <c r="E6" s="426">
        <v>42485</v>
      </c>
    </row>
    <row r="7" spans="1:6" x14ac:dyDescent="0.2">
      <c r="C7" t="s">
        <v>243</v>
      </c>
      <c r="E7" s="427">
        <v>31</v>
      </c>
    </row>
    <row r="8" spans="1:6" x14ac:dyDescent="0.2">
      <c r="C8" t="s">
        <v>244</v>
      </c>
      <c r="E8" s="428">
        <v>360</v>
      </c>
    </row>
    <row r="9" spans="1:6" ht="15" x14ac:dyDescent="0.25">
      <c r="C9" t="s">
        <v>245</v>
      </c>
      <c r="E9" s="429">
        <v>10300000</v>
      </c>
    </row>
    <row r="10" spans="1:6" ht="15" x14ac:dyDescent="0.25">
      <c r="C10" t="s">
        <v>246</v>
      </c>
      <c r="E10" s="430">
        <v>1.933E-2</v>
      </c>
    </row>
    <row r="11" spans="1:6" ht="15" x14ac:dyDescent="0.25">
      <c r="C11" t="s">
        <v>247</v>
      </c>
      <c r="E11" s="430">
        <v>4.3299999999999996E-3</v>
      </c>
    </row>
    <row r="12" spans="1:6" x14ac:dyDescent="0.2">
      <c r="C12" t="s">
        <v>248</v>
      </c>
      <c r="E12" s="426">
        <v>42481</v>
      </c>
    </row>
    <row r="13" spans="1:6" x14ac:dyDescent="0.2">
      <c r="E13" s="431"/>
    </row>
    <row r="14" spans="1:6" x14ac:dyDescent="0.2">
      <c r="B14" s="421" t="s">
        <v>249</v>
      </c>
      <c r="E14" s="432">
        <f>E9*(E10)*(ROUND((E7)/E8,5))</f>
        <v>17144.41489</v>
      </c>
    </row>
    <row r="15" spans="1:6" x14ac:dyDescent="0.2">
      <c r="E15" s="198"/>
    </row>
    <row r="16" spans="1:6" x14ac:dyDescent="0.2">
      <c r="B16" s="421" t="s">
        <v>250</v>
      </c>
      <c r="E16" s="433"/>
    </row>
    <row r="17" spans="2:5" x14ac:dyDescent="0.2">
      <c r="C17" t="s">
        <v>251</v>
      </c>
      <c r="E17" s="433">
        <v>1712291.25</v>
      </c>
    </row>
    <row r="18" spans="2:5" x14ac:dyDescent="0.2">
      <c r="C18" t="s">
        <v>252</v>
      </c>
      <c r="E18" s="433">
        <v>787714.88</v>
      </c>
    </row>
    <row r="19" spans="2:5" x14ac:dyDescent="0.2">
      <c r="C19" t="s">
        <v>253</v>
      </c>
      <c r="E19" s="433">
        <v>119382.04</v>
      </c>
    </row>
    <row r="20" spans="2:5" x14ac:dyDescent="0.2">
      <c r="C20" t="s">
        <v>254</v>
      </c>
      <c r="E20" s="433">
        <v>429895.32</v>
      </c>
    </row>
    <row r="21" spans="2:5" x14ac:dyDescent="0.2">
      <c r="C21" s="434" t="s">
        <v>255</v>
      </c>
      <c r="E21" s="435">
        <v>2956.33</v>
      </c>
    </row>
    <row r="22" spans="2:5" x14ac:dyDescent="0.2">
      <c r="E22" s="436"/>
    </row>
    <row r="23" spans="2:5" x14ac:dyDescent="0.2">
      <c r="B23" s="421" t="s">
        <v>256</v>
      </c>
      <c r="E23" s="432">
        <f>E17-E18-E19-E20-E21</f>
        <v>372342.67999999993</v>
      </c>
    </row>
    <row r="24" spans="2:5" x14ac:dyDescent="0.2">
      <c r="E24" s="437"/>
    </row>
    <row r="25" spans="2:5" ht="15" x14ac:dyDescent="0.25">
      <c r="B25" s="421" t="s">
        <v>257</v>
      </c>
      <c r="E25" s="438"/>
    </row>
    <row r="26" spans="2:5" x14ac:dyDescent="0.2">
      <c r="C26" t="s">
        <v>258</v>
      </c>
      <c r="E26" s="439">
        <v>0</v>
      </c>
    </row>
    <row r="27" spans="2:5" ht="15" x14ac:dyDescent="0.25">
      <c r="C27" t="s">
        <v>259</v>
      </c>
      <c r="E27" s="438">
        <v>0</v>
      </c>
    </row>
    <row r="28" spans="2:5" ht="15" x14ac:dyDescent="0.25">
      <c r="C28" t="s">
        <v>260</v>
      </c>
      <c r="E28" s="440">
        <v>0</v>
      </c>
    </row>
    <row r="29" spans="2:5" x14ac:dyDescent="0.2">
      <c r="B29" s="421" t="s">
        <v>261</v>
      </c>
      <c r="E29" s="432">
        <v>0</v>
      </c>
    </row>
    <row r="30" spans="2:5" x14ac:dyDescent="0.2">
      <c r="E30" s="437"/>
    </row>
    <row r="31" spans="2:5" ht="15" x14ac:dyDescent="0.25">
      <c r="B31" s="421" t="s">
        <v>262</v>
      </c>
      <c r="E31" s="438"/>
    </row>
    <row r="32" spans="2:5" ht="15" x14ac:dyDescent="0.25">
      <c r="C32" t="s">
        <v>263</v>
      </c>
      <c r="E32" s="438">
        <f>+E14</f>
        <v>17144.41489</v>
      </c>
    </row>
    <row r="33" spans="2:5" x14ac:dyDescent="0.2">
      <c r="E33" s="431"/>
    </row>
    <row r="34" spans="2:5" x14ac:dyDescent="0.2">
      <c r="B34" s="421" t="s">
        <v>264</v>
      </c>
      <c r="E34" s="432">
        <f>E32</f>
        <v>17144.41489</v>
      </c>
    </row>
    <row r="35" spans="2:5" x14ac:dyDescent="0.2">
      <c r="E35" s="198"/>
    </row>
    <row r="36" spans="2:5" x14ac:dyDescent="0.2">
      <c r="B36" s="421" t="s">
        <v>265</v>
      </c>
      <c r="E36" s="437"/>
    </row>
    <row r="37" spans="2:5" ht="15" x14ac:dyDescent="0.25">
      <c r="C37" t="s">
        <v>266</v>
      </c>
      <c r="E37" s="441">
        <v>0</v>
      </c>
    </row>
    <row r="38" spans="2:5" x14ac:dyDescent="0.2">
      <c r="C38" t="s">
        <v>267</v>
      </c>
      <c r="E38" s="442">
        <v>0</v>
      </c>
    </row>
    <row r="39" spans="2:5" x14ac:dyDescent="0.2">
      <c r="C39" t="s">
        <v>268</v>
      </c>
      <c r="E39" s="443">
        <v>0</v>
      </c>
    </row>
    <row r="40" spans="2:5" x14ac:dyDescent="0.2">
      <c r="B40" s="421" t="s">
        <v>269</v>
      </c>
      <c r="E40" s="43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2016-04-14T20:33:05Z</cp:lastPrinted>
  <dcterms:created xsi:type="dcterms:W3CDTF">2010-03-10T16:54:56Z</dcterms:created>
  <dcterms:modified xsi:type="dcterms:W3CDTF">2016-04-14T20:37:55Z</dcterms:modified>
</cp:coreProperties>
</file>