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 activeTab="1"/>
  </bookViews>
  <sheets>
    <sheet name="FFELP" sheetId="1" r:id="rId1"/>
    <sheet name="Collection and Waterfall" sheetId="2" r:id="rId2"/>
    <sheet name="ESA Balance Sheet" sheetId="3" r:id="rId3"/>
  </sheets>
  <externalReferences>
    <externalReference r:id="rId4"/>
  </externalReference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5" i="3" l="1"/>
  <c r="B28" i="3"/>
  <c r="B29" i="3" s="1"/>
  <c r="B27" i="3"/>
  <c r="B33" i="3" s="1"/>
  <c r="B37" i="3" s="1"/>
  <c r="B18" i="3"/>
  <c r="B17" i="3"/>
  <c r="B16" i="3"/>
  <c r="B13" i="3"/>
  <c r="B12" i="3"/>
  <c r="B14" i="3" s="1"/>
  <c r="B9" i="3"/>
  <c r="B21" i="3" s="1"/>
  <c r="B39" i="3" s="1"/>
  <c r="H85" i="2"/>
  <c r="H86" i="2" s="1"/>
  <c r="H81" i="2"/>
  <c r="G81" i="2"/>
  <c r="I81" i="2" s="1"/>
  <c r="I82" i="2" s="1"/>
  <c r="I80" i="2"/>
  <c r="L61" i="2"/>
  <c r="G84" i="2" s="1"/>
  <c r="L57" i="2"/>
  <c r="H76" i="2" s="1"/>
  <c r="H77" i="2" s="1"/>
  <c r="H88" i="2" s="1"/>
  <c r="L55" i="2"/>
  <c r="G76" i="2" s="1"/>
  <c r="L49" i="2"/>
  <c r="L47" i="2"/>
  <c r="N45" i="2"/>
  <c r="N47" i="2" s="1"/>
  <c r="N49" i="2" s="1"/>
  <c r="H20" i="2"/>
  <c r="H17" i="2"/>
  <c r="H16" i="2"/>
  <c r="N15" i="2"/>
  <c r="N14" i="2"/>
  <c r="L53" i="2" s="1"/>
  <c r="N13" i="2"/>
  <c r="L51" i="2" s="1"/>
  <c r="H13" i="2"/>
  <c r="H29" i="2" s="1"/>
  <c r="N12" i="2"/>
  <c r="N17" i="2" s="1"/>
  <c r="E6" i="2"/>
  <c r="E5" i="2"/>
  <c r="A3" i="2"/>
  <c r="A99" i="1"/>
  <c r="A98" i="1"/>
  <c r="A97" i="1"/>
  <c r="A96" i="1"/>
  <c r="A95" i="1"/>
  <c r="A94" i="1"/>
  <c r="A93" i="1"/>
  <c r="A84" i="1"/>
  <c r="G67" i="1"/>
  <c r="H65" i="1"/>
  <c r="G65" i="1"/>
  <c r="H64" i="1"/>
  <c r="G64" i="1"/>
  <c r="K63" i="1"/>
  <c r="G51" i="1"/>
  <c r="H50" i="1"/>
  <c r="G50" i="1"/>
  <c r="G49" i="1"/>
  <c r="G48" i="1"/>
  <c r="H47" i="1"/>
  <c r="H53" i="1" s="1"/>
  <c r="G53" i="1" s="1"/>
  <c r="G47" i="1"/>
  <c r="H46" i="1"/>
  <c r="H66" i="1" s="1"/>
  <c r="G46" i="1"/>
  <c r="H39" i="1"/>
  <c r="F39" i="1"/>
  <c r="G39" i="1" s="1"/>
  <c r="H38" i="1"/>
  <c r="F38" i="1"/>
  <c r="G38" i="1" s="1"/>
  <c r="H37" i="1"/>
  <c r="F37" i="1"/>
  <c r="G37" i="1" s="1"/>
  <c r="H36" i="1"/>
  <c r="F36" i="1"/>
  <c r="G36" i="1" s="1"/>
  <c r="H35" i="1"/>
  <c r="F35" i="1"/>
  <c r="G35" i="1" s="1"/>
  <c r="L34" i="1"/>
  <c r="H34" i="1"/>
  <c r="F34" i="1"/>
  <c r="G34" i="1" s="1"/>
  <c r="H29" i="1"/>
  <c r="F29" i="1"/>
  <c r="G29" i="1" s="1"/>
  <c r="H28" i="1"/>
  <c r="H30" i="1" s="1"/>
  <c r="F28" i="1"/>
  <c r="F30" i="1" s="1"/>
  <c r="H21" i="1"/>
  <c r="M18" i="1"/>
  <c r="J18" i="1"/>
  <c r="I18" i="1"/>
  <c r="L18" i="1" s="1"/>
  <c r="H73" i="1" s="1"/>
  <c r="G73" i="1" s="1"/>
  <c r="M17" i="1"/>
  <c r="M21" i="1" s="1"/>
  <c r="K17" i="1"/>
  <c r="G72" i="1" s="1"/>
  <c r="G74" i="1" s="1"/>
  <c r="J17" i="1"/>
  <c r="J21" i="1" s="1"/>
  <c r="I17" i="1"/>
  <c r="I21" i="1" s="1"/>
  <c r="E17" i="1"/>
  <c r="D17" i="1"/>
  <c r="G66" i="1" l="1"/>
  <c r="G68" i="1"/>
  <c r="H68" i="1"/>
  <c r="N51" i="2"/>
  <c r="N53" i="2" s="1"/>
  <c r="N55" i="2" s="1"/>
  <c r="N57" i="2" s="1"/>
  <c r="N59" i="2" s="1"/>
  <c r="N61" i="2" s="1"/>
  <c r="G77" i="2"/>
  <c r="I76" i="2"/>
  <c r="G85" i="2"/>
  <c r="I84" i="2"/>
  <c r="L17" i="1"/>
  <c r="K21" i="1"/>
  <c r="G28" i="1"/>
  <c r="G30" i="1" s="1"/>
  <c r="H72" i="1" l="1"/>
  <c r="H74" i="1" s="1"/>
  <c r="L21" i="1"/>
  <c r="G86" i="2"/>
  <c r="I85" i="2"/>
  <c r="G88" i="2"/>
  <c r="I77" i="2"/>
  <c r="I78" i="2" s="1"/>
  <c r="H79" i="1"/>
  <c r="H78" i="1"/>
  <c r="I88" i="2" l="1"/>
  <c r="I86" i="2"/>
</calcChain>
</file>

<file path=xl/sharedStrings.xml><?xml version="1.0" encoding="utf-8"?>
<sst xmlns="http://schemas.openxmlformats.org/spreadsheetml/2006/main" count="339" uniqueCount="248">
  <si>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</si>
  <si>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</si>
  <si>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</si>
  <si>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</si>
  <si>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</si>
  <si>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</si>
  <si>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</si>
  <si>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</si>
  <si>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</si>
  <si>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</si>
  <si>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</si>
  <si>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</si>
  <si>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</si>
  <si>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</si>
  <si>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</si>
  <si>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</si>
  <si>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</si>
  <si>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</si>
  <si>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</si>
  <si>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</si>
  <si>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</si>
  <si>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</si>
  <si>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</si>
  <si>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</si>
  <si>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</si>
  <si>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</si>
  <si>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</si>
  <si>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</si>
  <si>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</si>
  <si>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</si>
  <si>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</si>
  <si>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</si>
  <si>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</si>
  <si>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</si>
  <si>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</si>
  <si>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</si>
  <si>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</si>
  <si>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</si>
  <si>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</si>
  <si>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</si>
  <si>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</si>
  <si>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</si>
  <si>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</si>
  <si>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</si>
  <si>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</si>
  <si>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</si>
  <si>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</si>
  <si>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</si>
  <si>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</si>
  <si>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</si>
  <si>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</si>
  <si>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</si>
  <si>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</si>
  <si>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</si>
  <si>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</si>
  <si>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</si>
  <si>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</si>
  <si>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</si>
  <si>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</si>
  <si>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</si>
  <si>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</si>
  <si>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</si>
  <si>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</si>
  <si>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</si>
  <si>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</si>
  <si>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</si>
  <si>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</si>
  <si>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</si>
  <si>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</si>
  <si>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</si>
  <si>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</si>
  <si>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</si>
  <si>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</si>
  <si>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</si>
  <si>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</si>
  <si>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</si>
  <si>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</si>
  <si>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</si>
  <si>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</si>
  <si>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</si>
  <si>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</si>
  <si>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</si>
  <si>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</si>
  <si>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</si>
  <si>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</si>
  <si>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</si>
  <si>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</si>
  <si>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</si>
  <si>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</si>
  <si>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</si>
  <si>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</si>
  <si>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</si>
  <si>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</si>
  <si>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</si>
  <si>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</si>
  <si>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</si>
  <si>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</si>
  <si>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</si>
  <si>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</si>
  <si>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</si>
  <si>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</si>
  <si>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</si>
  <si>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</si>
  <si>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</si>
  <si>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</si>
  <si>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</si>
  <si>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</si>
  <si>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</si>
  <si>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</si>
  <si>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</si>
  <si>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</si>
  <si>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</si>
  <si>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</si>
  <si>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</si>
  <si>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</si>
  <si>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</si>
  <si>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</si>
  <si>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</si>
  <si>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</si>
  <si>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</si>
  <si>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</si>
  <si>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</si>
  <si>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</si>
  <si>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</si>
  <si>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</si>
  <si>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</si>
  <si>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</si>
  <si>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</si>
  <si>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</si>
  <si>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</si>
  <si>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</si>
  <si>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</si>
  <si>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</si>
  <si>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</si>
  <si>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</si>
  <si>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</si>
  <si>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</si>
  <si>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</si>
  <si>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</si>
  <si>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</si>
  <si>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</si>
  <si>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</si>
  <si>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</si>
  <si>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</si>
  <si>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</si>
  <si>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</si>
  <si>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</si>
  <si>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</si>
  <si>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</si>
  <si>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</si>
  <si>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</si>
  <si>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</si>
  <si>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</si>
  <si>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</si>
  <si>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</si>
  <si>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</si>
  <si>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</si>
  <si>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</si>
  <si>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</si>
  <si>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</si>
  <si>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</si>
  <si>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</si>
  <si>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</si>
  <si>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</si>
  <si>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</si>
  <si>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</si>
  <si>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</si>
  <si>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</si>
  <si>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</si>
  <si>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</si>
  <si>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</si>
  <si>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</si>
  <si>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</si>
  <si>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</si>
  <si>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</si>
  <si>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</si>
  <si>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</si>
  <si>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</si>
  <si>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</si>
  <si>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</si>
  <si>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</si>
  <si>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</si>
  <si>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</si>
  <si>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</si>
  <si>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</si>
  <si>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</si>
  <si>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</si>
  <si>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</si>
  <si>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</si>
  <si>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</si>
  <si>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</si>
  <si>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</si>
  <si>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</si>
  <si>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</si>
  <si>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</si>
  <si>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</si>
  <si>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</si>
  <si>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</si>
  <si>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</si>
  <si>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</si>
  <si>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</si>
  <si>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</si>
  <si>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</si>
  <si>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</si>
  <si>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</si>
  <si>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</si>
  <si>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</si>
  <si>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</si>
  <si>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</si>
  <si>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</si>
  <si>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</si>
  <si>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</si>
  <si>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</si>
  <si>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</si>
  <si>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</si>
  <si>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</si>
  <si>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</si>
  <si>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</si>
  <si>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</si>
  <si>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</si>
  <si>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</si>
  <si>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4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</si>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</sst>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0000_);_(* \(#,##0.000000\);_(* &quot;-&quot;??_);_(@_)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mmmm\ d\,\ yyyy"/>
    <numFmt numFmtId="173" formatCode="_(&quot;$&quot;* #,##0_);_(&quot;$&quot;* \(#,##0\);_(&quot;$&quot;* &quot;-&quot;??_);_(@_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/>
    <xf numFmtId="14" fontId="2" fillId="0" borderId="5" xfId="0" applyNumberFormat="1" applyFont="1" applyBorder="1" applyAlignment="1"/>
    <xf numFmtId="164" fontId="2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/>
    <xf numFmtId="0" fontId="6" fillId="0" borderId="7" xfId="0" applyFont="1" applyBorder="1" applyAlignment="1" applyProtection="1"/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1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3" fillId="0" borderId="10" xfId="0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4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2" fillId="0" borderId="18" xfId="0" applyNumberFormat="1" applyFont="1" applyFill="1" applyBorder="1"/>
    <xf numFmtId="43" fontId="2" fillId="0" borderId="19" xfId="0" applyNumberFormat="1" applyFont="1" applyFill="1" applyBorder="1"/>
    <xf numFmtId="10" fontId="7" fillId="0" borderId="18" xfId="0" applyNumberFormat="1" applyFont="1" applyFill="1" applyBorder="1" applyAlignment="1">
      <alignment horizontal="center"/>
    </xf>
    <xf numFmtId="10" fontId="2" fillId="0" borderId="20" xfId="0" applyNumberFormat="1" applyFont="1" applyFill="1" applyBorder="1" applyAlignment="1"/>
    <xf numFmtId="0" fontId="3" fillId="0" borderId="21" xfId="0" applyFont="1" applyFill="1" applyBorder="1"/>
    <xf numFmtId="0" fontId="2" fillId="0" borderId="18" xfId="0" applyFont="1" applyFill="1" applyBorder="1"/>
    <xf numFmtId="10" fontId="2" fillId="0" borderId="18" xfId="0" applyNumberFormat="1" applyFont="1" applyFill="1" applyBorder="1"/>
    <xf numFmtId="43" fontId="3" fillId="0" borderId="18" xfId="0" applyNumberFormat="1" applyFont="1" applyFill="1" applyBorder="1"/>
    <xf numFmtId="9" fontId="3" fillId="0" borderId="18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2" xfId="0" applyFont="1" applyFill="1" applyBorder="1"/>
    <xf numFmtId="0" fontId="8" fillId="0" borderId="0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0" fontId="3" fillId="0" borderId="11" xfId="0" applyFont="1" applyFill="1" applyBorder="1"/>
    <xf numFmtId="0" fontId="2" fillId="0" borderId="24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/>
    <xf numFmtId="0" fontId="2" fillId="0" borderId="22" xfId="0" applyFont="1" applyFill="1" applyBorder="1"/>
    <xf numFmtId="43" fontId="2" fillId="0" borderId="12" xfId="0" applyNumberFormat="1" applyFont="1" applyFill="1" applyBorder="1" applyAlignment="1">
      <alignment horizontal="right"/>
    </xf>
    <xf numFmtId="43" fontId="2" fillId="0" borderId="14" xfId="0" applyNumberFormat="1" applyFont="1" applyFill="1" applyBorder="1" applyAlignment="1">
      <alignment horizontal="right"/>
    </xf>
    <xf numFmtId="43" fontId="2" fillId="0" borderId="25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9" xfId="0" applyFont="1" applyFill="1" applyBorder="1"/>
    <xf numFmtId="0" fontId="3" fillId="0" borderId="18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10" fontId="2" fillId="0" borderId="27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/>
    <xf numFmtId="2" fontId="2" fillId="0" borderId="22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/>
    <xf numFmtId="0" fontId="3" fillId="0" borderId="0" xfId="0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43" fontId="3" fillId="0" borderId="26" xfId="0" applyNumberFormat="1" applyFont="1" applyFill="1" applyBorder="1" applyAlignment="1">
      <alignment horizontal="right"/>
    </xf>
    <xf numFmtId="2" fontId="2" fillId="0" borderId="27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0" xfId="0" applyNumberFormat="1" applyFont="1" applyFill="1" applyBorder="1" applyAlignment="1">
      <alignment horizontal="right"/>
    </xf>
    <xf numFmtId="2" fontId="2" fillId="0" borderId="29" xfId="0" applyNumberFormat="1" applyFont="1" applyFill="1" applyBorder="1" applyAlignment="1"/>
    <xf numFmtId="2" fontId="2" fillId="0" borderId="21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0" applyNumberFormat="1" applyFont="1" applyFill="1" applyBorder="1" applyAlignment="1">
      <alignment horizontal="center"/>
    </xf>
    <xf numFmtId="10" fontId="3" fillId="0" borderId="31" xfId="0" applyNumberFormat="1" applyFont="1" applyFill="1" applyBorder="1" applyAlignment="1"/>
    <xf numFmtId="10" fontId="3" fillId="0" borderId="23" xfId="0" applyNumberFormat="1" applyFont="1" applyFill="1" applyBorder="1" applyAlignment="1">
      <alignment horizontal="center"/>
    </xf>
    <xf numFmtId="10" fontId="3" fillId="0" borderId="32" xfId="0" applyNumberFormat="1" applyFont="1" applyFill="1" applyBorder="1" applyAlignment="1"/>
    <xf numFmtId="41" fontId="2" fillId="0" borderId="13" xfId="0" applyNumberFormat="1" applyFont="1" applyFill="1" applyBorder="1" applyAlignment="1">
      <alignment horizontal="right"/>
    </xf>
    <xf numFmtId="165" fontId="2" fillId="0" borderId="16" xfId="0" applyNumberFormat="1" applyFont="1" applyFill="1" applyBorder="1" applyAlignment="1">
      <alignment horizontal="right"/>
    </xf>
    <xf numFmtId="41" fontId="2" fillId="0" borderId="26" xfId="0" applyNumberFormat="1" applyFont="1" applyFill="1" applyBorder="1" applyAlignment="1">
      <alignment horizontal="right"/>
    </xf>
    <xf numFmtId="0" fontId="3" fillId="0" borderId="4" xfId="0" applyFont="1" applyFill="1" applyBorder="1"/>
    <xf numFmtId="10" fontId="3" fillId="0" borderId="27" xfId="0" applyNumberFormat="1" applyFont="1" applyFill="1" applyBorder="1"/>
    <xf numFmtId="2" fontId="3" fillId="0" borderId="33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8" fontId="2" fillId="0" borderId="13" xfId="0" applyNumberFormat="1" applyFont="1" applyFill="1" applyBorder="1" applyAlignment="1">
      <alignment horizontal="right"/>
    </xf>
    <xf numFmtId="8" fontId="2" fillId="0" borderId="26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2" fillId="0" borderId="35" xfId="0" applyFont="1" applyFill="1" applyBorder="1"/>
    <xf numFmtId="10" fontId="3" fillId="0" borderId="36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0" borderId="21" xfId="0" applyFont="1" applyFill="1" applyBorder="1"/>
    <xf numFmtId="8" fontId="2" fillId="0" borderId="18" xfId="0" applyNumberFormat="1" applyFont="1" applyFill="1" applyBorder="1" applyAlignment="1">
      <alignment horizontal="right"/>
    </xf>
    <xf numFmtId="8" fontId="2" fillId="0" borderId="37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44" fontId="2" fillId="0" borderId="0" xfId="0" applyNumberFormat="1" applyFont="1" applyFill="1"/>
    <xf numFmtId="43" fontId="2" fillId="0" borderId="27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43" fontId="3" fillId="0" borderId="27" xfId="0" applyNumberFormat="1" applyFont="1" applyFill="1" applyBorder="1" applyAlignment="1">
      <alignment horizontal="center"/>
    </xf>
    <xf numFmtId="43" fontId="3" fillId="0" borderId="5" xfId="0" applyNumberFormat="1" applyFont="1" applyFill="1" applyBorder="1"/>
    <xf numFmtId="165" fontId="2" fillId="0" borderId="0" xfId="0" applyNumberFormat="1" applyFont="1" applyFill="1"/>
    <xf numFmtId="0" fontId="2" fillId="0" borderId="27" xfId="0" applyFont="1" applyFill="1" applyBorder="1"/>
    <xf numFmtId="0" fontId="2" fillId="0" borderId="13" xfId="0" applyFont="1" applyFill="1" applyBorder="1"/>
    <xf numFmtId="0" fontId="8" fillId="0" borderId="27" xfId="0" applyFont="1" applyFill="1" applyBorder="1"/>
    <xf numFmtId="0" fontId="8" fillId="0" borderId="13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3" xfId="0" applyFont="1" applyFill="1" applyBorder="1"/>
    <xf numFmtId="0" fontId="2" fillId="0" borderId="38" xfId="0" applyFont="1" applyFill="1" applyBorder="1"/>
    <xf numFmtId="0" fontId="2" fillId="0" borderId="8" xfId="0" applyFont="1" applyFill="1" applyBorder="1"/>
    <xf numFmtId="0" fontId="1" fillId="0" borderId="34" xfId="0" applyFont="1" applyFill="1" applyBorder="1"/>
    <xf numFmtId="0" fontId="2" fillId="0" borderId="39" xfId="0" applyFont="1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/>
    <xf numFmtId="0" fontId="2" fillId="0" borderId="12" xfId="0" applyFont="1" applyFill="1" applyBorder="1"/>
    <xf numFmtId="165" fontId="2" fillId="0" borderId="15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right"/>
    </xf>
    <xf numFmtId="43" fontId="2" fillId="0" borderId="20" xfId="0" applyNumberFormat="1" applyFont="1" applyFill="1" applyBorder="1"/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0" fontId="2" fillId="0" borderId="23" xfId="0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5" fontId="2" fillId="0" borderId="13" xfId="0" quotePrefix="1" applyNumberFormat="1" applyFont="1" applyFill="1" applyBorder="1" applyAlignment="1">
      <alignment horizontal="right"/>
    </xf>
    <xf numFmtId="43" fontId="2" fillId="0" borderId="26" xfId="0" quotePrefix="1" applyNumberFormat="1" applyFont="1" applyFill="1" applyBorder="1" applyAlignment="1">
      <alignment horizontal="right"/>
    </xf>
    <xf numFmtId="43" fontId="3" fillId="0" borderId="12" xfId="0" applyNumberFormat="1" applyFont="1" applyFill="1" applyBorder="1" applyAlignment="1">
      <alignment horizontal="center"/>
    </xf>
    <xf numFmtId="165" fontId="2" fillId="0" borderId="5" xfId="0" applyNumberFormat="1" applyFont="1" applyFill="1" applyBorder="1"/>
    <xf numFmtId="167" fontId="2" fillId="0" borderId="0" xfId="0" applyNumberFormat="1" applyFont="1" applyFill="1"/>
    <xf numFmtId="0" fontId="3" fillId="0" borderId="17" xfId="0" applyFont="1" applyFill="1" applyBorder="1"/>
    <xf numFmtId="43" fontId="3" fillId="0" borderId="18" xfId="0" applyNumberFormat="1" applyFont="1" applyFill="1" applyBorder="1" applyAlignment="1">
      <alignment horizontal="right"/>
    </xf>
    <xf numFmtId="10" fontId="2" fillId="0" borderId="18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43" fontId="3" fillId="0" borderId="37" xfId="0" applyNumberFormat="1" applyFont="1" applyFill="1" applyBorder="1" applyAlignment="1">
      <alignment horizontal="right"/>
    </xf>
    <xf numFmtId="165" fontId="3" fillId="0" borderId="13" xfId="0" applyNumberFormat="1" applyFont="1" applyFill="1" applyBorder="1"/>
    <xf numFmtId="165" fontId="3" fillId="0" borderId="16" xfId="0" applyNumberFormat="1" applyFont="1" applyFill="1" applyBorder="1"/>
    <xf numFmtId="165" fontId="3" fillId="0" borderId="5" xfId="0" applyNumberFormat="1" applyFont="1" applyFill="1" applyBorder="1"/>
    <xf numFmtId="10" fontId="2" fillId="0" borderId="16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10" fontId="2" fillId="0" borderId="19" xfId="0" applyNumberFormat="1" applyFont="1" applyFill="1" applyBorder="1"/>
    <xf numFmtId="10" fontId="2" fillId="0" borderId="20" xfId="0" applyNumberFormat="1" applyFont="1" applyFill="1" applyBorder="1"/>
    <xf numFmtId="0" fontId="8" fillId="0" borderId="24" xfId="0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3" fillId="0" borderId="30" xfId="0" applyFont="1" applyFill="1" applyBorder="1"/>
    <xf numFmtId="0" fontId="3" fillId="0" borderId="31" xfId="0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43" fontId="3" fillId="0" borderId="10" xfId="0" applyNumberFormat="1" applyFont="1" applyFill="1" applyBorder="1" applyAlignment="1">
      <alignment horizontal="center"/>
    </xf>
    <xf numFmtId="43" fontId="3" fillId="0" borderId="30" xfId="0" applyNumberFormat="1" applyFont="1" applyFill="1" applyBorder="1" applyAlignment="1">
      <alignment horizontal="center"/>
    </xf>
    <xf numFmtId="0" fontId="11" fillId="0" borderId="4" xfId="0" applyFont="1" applyFill="1" applyBorder="1"/>
    <xf numFmtId="10" fontId="2" fillId="0" borderId="12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2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41" fontId="3" fillId="0" borderId="19" xfId="0" applyNumberFormat="1" applyFont="1" applyFill="1" applyBorder="1" applyAlignment="1">
      <alignment horizontal="right"/>
    </xf>
    <xf numFmtId="10" fontId="3" fillId="0" borderId="18" xfId="0" applyNumberFormat="1" applyFont="1" applyFill="1" applyBorder="1" applyAlignment="1">
      <alignment horizontal="right"/>
    </xf>
    <xf numFmtId="168" fontId="3" fillId="0" borderId="18" xfId="0" applyNumberFormat="1" applyFont="1" applyFill="1" applyBorder="1" applyAlignment="1">
      <alignment horizontal="right"/>
    </xf>
    <xf numFmtId="168" fontId="3" fillId="0" borderId="37" xfId="0" applyNumberFormat="1" applyFont="1" applyFill="1" applyBorder="1" applyAlignment="1">
      <alignment horizontal="right"/>
    </xf>
    <xf numFmtId="10" fontId="8" fillId="0" borderId="22" xfId="0" applyNumberFormat="1" applyFont="1" applyFill="1" applyBorder="1"/>
    <xf numFmtId="169" fontId="8" fillId="0" borderId="15" xfId="0" applyNumberFormat="1" applyFont="1" applyFill="1" applyBorder="1"/>
    <xf numFmtId="10" fontId="8" fillId="0" borderId="7" xfId="0" applyNumberFormat="1" applyFont="1" applyFill="1" applyBorder="1"/>
    <xf numFmtId="169" fontId="8" fillId="0" borderId="8" xfId="0" applyNumberFormat="1" applyFont="1" applyFill="1" applyBorder="1"/>
    <xf numFmtId="43" fontId="2" fillId="0" borderId="27" xfId="0" applyNumberFormat="1" applyFont="1" applyFill="1" applyBorder="1" applyAlignment="1">
      <alignment horizontal="right"/>
    </xf>
    <xf numFmtId="41" fontId="3" fillId="0" borderId="18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10" fontId="8" fillId="0" borderId="0" xfId="0" applyNumberFormat="1" applyFont="1" applyFill="1" applyBorder="1"/>
    <xf numFmtId="169" fontId="8" fillId="0" borderId="5" xfId="0" applyNumberFormat="1" applyFont="1" applyFill="1" applyBorder="1"/>
    <xf numFmtId="0" fontId="3" fillId="0" borderId="30" xfId="0" applyFont="1" applyFill="1" applyBorder="1" applyAlignment="1">
      <alignment horizontal="center"/>
    </xf>
    <xf numFmtId="0" fontId="2" fillId="0" borderId="40" xfId="0" applyFont="1" applyFill="1" applyBorder="1"/>
    <xf numFmtId="0" fontId="13" fillId="0" borderId="0" xfId="0" applyFont="1" applyFill="1"/>
    <xf numFmtId="0" fontId="2" fillId="0" borderId="11" xfId="0" applyFont="1" applyFill="1" applyBorder="1"/>
    <xf numFmtId="10" fontId="2" fillId="0" borderId="26" xfId="0" applyNumberFormat="1" applyFont="1" applyFill="1" applyBorder="1" applyAlignment="1">
      <alignment horizontal="right"/>
    </xf>
    <xf numFmtId="170" fontId="2" fillId="0" borderId="41" xfId="0" applyNumberFormat="1" applyFont="1" applyFill="1" applyBorder="1" applyAlignment="1">
      <alignment horizontal="right"/>
    </xf>
    <xf numFmtId="171" fontId="2" fillId="0" borderId="26" xfId="0" applyNumberFormat="1" applyFont="1" applyFill="1" applyBorder="1" applyAlignment="1">
      <alignment horizontal="right"/>
    </xf>
    <xf numFmtId="0" fontId="3" fillId="0" borderId="7" xfId="0" applyFont="1" applyFill="1" applyBorder="1"/>
    <xf numFmtId="10" fontId="3" fillId="0" borderId="37" xfId="0" applyNumberFormat="1" applyFont="1" applyFill="1" applyBorder="1" applyAlignment="1">
      <alignment horizontal="right"/>
    </xf>
    <xf numFmtId="170" fontId="3" fillId="0" borderId="37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4" fillId="0" borderId="34" xfId="0" applyFont="1" applyFill="1" applyBorder="1"/>
    <xf numFmtId="0" fontId="0" fillId="0" borderId="40" xfId="0" applyFill="1" applyBorder="1"/>
    <xf numFmtId="0" fontId="0" fillId="0" borderId="39" xfId="0" applyFill="1" applyBorder="1"/>
    <xf numFmtId="14" fontId="3" fillId="0" borderId="2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6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14" fontId="3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9" fontId="2" fillId="0" borderId="4" xfId="0" applyNumberFormat="1" applyFont="1" applyFill="1" applyBorder="1"/>
    <xf numFmtId="43" fontId="2" fillId="0" borderId="5" xfId="0" applyNumberFormat="1" applyFont="1" applyFill="1" applyBorder="1" applyAlignment="1">
      <alignment horizontal="right"/>
    </xf>
    <xf numFmtId="0" fontId="2" fillId="0" borderId="0" xfId="0" applyFont="1"/>
    <xf numFmtId="43" fontId="0" fillId="0" borderId="5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0" applyNumberFormat="1" applyFill="1"/>
    <xf numFmtId="49" fontId="0" fillId="0" borderId="4" xfId="0" applyNumberFormat="1" applyFont="1" applyFill="1" applyBorder="1"/>
    <xf numFmtId="0" fontId="8" fillId="0" borderId="1" xfId="0" applyFont="1" applyFill="1" applyBorder="1"/>
    <xf numFmtId="0" fontId="4" fillId="0" borderId="2" xfId="0" applyFont="1" applyFill="1" applyBorder="1"/>
    <xf numFmtId="0" fontId="17" fillId="0" borderId="2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43" fontId="4" fillId="0" borderId="7" xfId="0" applyNumberFormat="1" applyFont="1" applyFill="1" applyBorder="1"/>
    <xf numFmtId="0" fontId="4" fillId="0" borderId="8" xfId="0" applyFont="1" applyFill="1" applyBorder="1"/>
    <xf numFmtId="43" fontId="4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4" fillId="0" borderId="0" xfId="0" applyNumberFormat="1" applyFont="1" applyFill="1"/>
    <xf numFmtId="0" fontId="8" fillId="0" borderId="24" xfId="0" applyFont="1" applyFill="1" applyBorder="1" applyAlignment="1">
      <alignment vertical="top"/>
    </xf>
    <xf numFmtId="0" fontId="0" fillId="0" borderId="22" xfId="0" applyFill="1" applyBorder="1"/>
    <xf numFmtId="0" fontId="0" fillId="0" borderId="15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3" fillId="0" borderId="21" xfId="0" applyFont="1" applyFill="1" applyBorder="1" applyAlignment="1">
      <alignment horizontal="right"/>
    </xf>
    <xf numFmtId="0" fontId="0" fillId="0" borderId="21" xfId="0" applyFill="1" applyBorder="1"/>
    <xf numFmtId="0" fontId="3" fillId="0" borderId="2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43" fontId="0" fillId="0" borderId="0" xfId="0" applyNumberFormat="1" applyFont="1" applyBorder="1"/>
    <xf numFmtId="43" fontId="0" fillId="0" borderId="5" xfId="0" applyNumberFormat="1" applyFont="1" applyBorder="1"/>
    <xf numFmtId="43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18" fillId="0" borderId="0" xfId="0" applyNumberFormat="1" applyFont="1" applyFill="1" applyBorder="1"/>
    <xf numFmtId="0" fontId="0" fillId="0" borderId="5" xfId="0" applyBorder="1"/>
    <xf numFmtId="0" fontId="4" fillId="0" borderId="0" xfId="0" applyFont="1" applyBorder="1"/>
    <xf numFmtId="0" fontId="17" fillId="0" borderId="0" xfId="0" applyFont="1" applyBorder="1"/>
    <xf numFmtId="0" fontId="0" fillId="0" borderId="0" xfId="0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43" fontId="19" fillId="0" borderId="0" xfId="0" applyNumberFormat="1" applyFont="1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8" xfId="0" applyNumberFormat="1" applyFont="1" applyFill="1" applyBorder="1"/>
    <xf numFmtId="0" fontId="0" fillId="0" borderId="38" xfId="0" applyFill="1" applyBorder="1"/>
    <xf numFmtId="0" fontId="0" fillId="0" borderId="8" xfId="0" applyFill="1" applyBorder="1"/>
    <xf numFmtId="43" fontId="2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2" fontId="3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73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fill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73" fontId="3" fillId="0" borderId="44" xfId="0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Alignment="1" applyProtection="1">
      <alignment horizontal="right"/>
    </xf>
    <xf numFmtId="173" fontId="2" fillId="0" borderId="44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fill"/>
      <protection locked="0"/>
    </xf>
    <xf numFmtId="173" fontId="3" fillId="0" borderId="21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/>
    <xf numFmtId="165" fontId="2" fillId="0" borderId="0" xfId="0" applyNumberFormat="1" applyFont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0" fontId="0" fillId="0" borderId="0" xfId="0" applyNumberForma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EdsouthServices%20Inden.No.%204\Investor%20Reports%20for%20website-Inden.4\Detailed%20Servicing%20Reports%20for%20website\06-2014\detailedservicing_ind4_6-30-14%20for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Balancing &amp; Ck. Tab"/>
      <sheetName val="Collection and Waterfall"/>
      <sheetName val="ESA Balance Sheet"/>
      <sheetName val="Ind 4 BS"/>
      <sheetName val="libor"/>
      <sheetName val="CPR prepmt"/>
      <sheetName val="DD certif"/>
      <sheetName val="defaults"/>
      <sheetName val="recoveries"/>
      <sheetName val="2nd Mrkt"/>
    </sheetNames>
    <sheetDataSet>
      <sheetData sheetId="0" refreshError="1"/>
      <sheetData sheetId="1" refreshError="1"/>
      <sheetData sheetId="2"/>
      <sheetData sheetId="3" refreshError="1"/>
      <sheetData sheetId="4">
        <row r="15">
          <cell r="B15">
            <v>13152126.699999999</v>
          </cell>
        </row>
        <row r="19">
          <cell r="B19">
            <v>1149583.96</v>
          </cell>
        </row>
        <row r="32">
          <cell r="B32">
            <v>442844087.57999998</v>
          </cell>
        </row>
        <row r="36">
          <cell r="B36">
            <v>11706344.27</v>
          </cell>
        </row>
        <row r="37">
          <cell r="B37">
            <v>0</v>
          </cell>
        </row>
        <row r="38">
          <cell r="B38">
            <v>380916.27</v>
          </cell>
        </row>
        <row r="39">
          <cell r="B39">
            <v>681153.24</v>
          </cell>
        </row>
        <row r="45">
          <cell r="B45">
            <v>2899666</v>
          </cell>
        </row>
        <row r="46">
          <cell r="B46">
            <v>-1641244.72</v>
          </cell>
        </row>
        <row r="63">
          <cell r="B63">
            <v>4569662.72</v>
          </cell>
        </row>
        <row r="74">
          <cell r="B74">
            <v>455721781.80000001</v>
          </cell>
        </row>
        <row r="81">
          <cell r="B81">
            <v>10881188.779999999</v>
          </cell>
        </row>
      </sheetData>
      <sheetData sheetId="5">
        <row r="7">
          <cell r="F7">
            <v>1.5200000000000001E-3</v>
          </cell>
          <cell r="H7">
            <v>7.2199999999999999E-3</v>
          </cell>
          <cell r="K7">
            <v>439762694.67000002</v>
          </cell>
          <cell r="L7">
            <v>264579.96999999997</v>
          </cell>
        </row>
        <row r="8">
          <cell r="K8">
            <v>16500000</v>
          </cell>
          <cell r="L8">
            <v>20624.18</v>
          </cell>
        </row>
        <row r="10">
          <cell r="L10">
            <v>285204.14999999997</v>
          </cell>
        </row>
      </sheetData>
      <sheetData sheetId="6">
        <row r="26">
          <cell r="G26">
            <v>0.13347480349348717</v>
          </cell>
        </row>
      </sheetData>
      <sheetData sheetId="7">
        <row r="3">
          <cell r="I3">
            <v>1127337.47</v>
          </cell>
        </row>
        <row r="4">
          <cell r="I4">
            <v>1149583.96</v>
          </cell>
        </row>
        <row r="10">
          <cell r="B10">
            <v>10703664.939999999</v>
          </cell>
          <cell r="E10">
            <v>868.51</v>
          </cell>
          <cell r="F10">
            <v>22246.49</v>
          </cell>
        </row>
        <row r="12">
          <cell r="B12">
            <v>813183.8</v>
          </cell>
        </row>
        <row r="14">
          <cell r="B14">
            <v>31077.22</v>
          </cell>
        </row>
        <row r="16">
          <cell r="E16">
            <v>170489.88</v>
          </cell>
        </row>
        <row r="23">
          <cell r="J23">
            <v>-22648.37</v>
          </cell>
        </row>
        <row r="34">
          <cell r="K34">
            <v>454550431.85000002</v>
          </cell>
        </row>
        <row r="51">
          <cell r="I51">
            <v>-31077.22</v>
          </cell>
        </row>
        <row r="53">
          <cell r="I53">
            <v>-18451.84</v>
          </cell>
        </row>
        <row r="68">
          <cell r="I68">
            <v>-9385258.0500000007</v>
          </cell>
        </row>
      </sheetData>
      <sheetData sheetId="8">
        <row r="19">
          <cell r="F19">
            <v>2424219.31</v>
          </cell>
        </row>
      </sheetData>
      <sheetData sheetId="9">
        <row r="21">
          <cell r="F21">
            <v>2596944.64</v>
          </cell>
        </row>
      </sheetData>
      <sheetData sheetId="10">
        <row r="17">
          <cell r="F17">
            <v>451444346.87</v>
          </cell>
          <cell r="H17">
            <v>442844087.57999998</v>
          </cell>
        </row>
        <row r="18">
          <cell r="F18">
            <v>8389235.9700000007</v>
          </cell>
          <cell r="H18">
            <v>8090899.4199999999</v>
          </cell>
        </row>
        <row r="23">
          <cell r="F23">
            <v>5.27</v>
          </cell>
          <cell r="H23">
            <v>5.28</v>
          </cell>
        </row>
        <row r="24">
          <cell r="F24">
            <v>121.65</v>
          </cell>
          <cell r="H24">
            <v>121.65</v>
          </cell>
        </row>
        <row r="25">
          <cell r="F25">
            <v>131358</v>
          </cell>
          <cell r="H25">
            <v>128811</v>
          </cell>
        </row>
        <row r="26">
          <cell r="F26">
            <v>59355</v>
          </cell>
          <cell r="H26">
            <v>58176</v>
          </cell>
        </row>
        <row r="27">
          <cell r="F27">
            <v>3500.61</v>
          </cell>
          <cell r="H27">
            <v>3500.75</v>
          </cell>
        </row>
        <row r="28">
          <cell r="F28">
            <v>7747.18</v>
          </cell>
          <cell r="H28">
            <v>7751.22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76" t="s">
        <v>2</v>
      </c>
      <c r="C4" s="377"/>
      <c r="D4" s="3" t="s">
        <v>3</v>
      </c>
      <c r="E4" s="3"/>
      <c r="F4" s="3"/>
      <c r="G4" s="4"/>
      <c r="I4" s="378"/>
      <c r="J4" s="378"/>
    </row>
    <row r="5" spans="1:15" x14ac:dyDescent="0.2">
      <c r="B5" s="359" t="s">
        <v>4</v>
      </c>
      <c r="C5" s="360"/>
      <c r="D5" s="5" t="s">
        <v>5</v>
      </c>
      <c r="E5" s="5"/>
      <c r="F5" s="5"/>
      <c r="G5" s="6"/>
      <c r="I5" s="378"/>
      <c r="J5" s="378"/>
      <c r="L5" s="379"/>
      <c r="M5" s="379"/>
    </row>
    <row r="6" spans="1:15" x14ac:dyDescent="0.2">
      <c r="B6" s="359" t="s">
        <v>6</v>
      </c>
      <c r="C6" s="360"/>
      <c r="D6" s="7">
        <v>41845</v>
      </c>
      <c r="E6" s="5"/>
      <c r="F6" s="5"/>
      <c r="G6" s="6"/>
      <c r="I6" s="378"/>
      <c r="J6" s="378"/>
      <c r="L6" s="379"/>
      <c r="M6" s="379"/>
    </row>
    <row r="7" spans="1:15" x14ac:dyDescent="0.2">
      <c r="B7" s="359" t="s">
        <v>7</v>
      </c>
      <c r="C7" s="360"/>
      <c r="D7" s="7">
        <v>41820</v>
      </c>
      <c r="E7" s="8"/>
      <c r="F7" s="8"/>
      <c r="G7" s="9"/>
      <c r="I7" s="10"/>
      <c r="J7" s="10"/>
      <c r="L7" s="379"/>
      <c r="M7" s="379"/>
    </row>
    <row r="8" spans="1:15" x14ac:dyDescent="0.2">
      <c r="B8" s="359" t="s">
        <v>8</v>
      </c>
      <c r="C8" s="360"/>
      <c r="D8" s="5" t="s">
        <v>9</v>
      </c>
      <c r="E8" s="5"/>
      <c r="F8" s="5"/>
      <c r="G8" s="6"/>
      <c r="I8" s="10"/>
      <c r="J8" s="10"/>
    </row>
    <row r="9" spans="1:15" x14ac:dyDescent="0.2">
      <c r="B9" s="359" t="s">
        <v>10</v>
      </c>
      <c r="C9" s="360"/>
      <c r="D9" s="5" t="s">
        <v>11</v>
      </c>
      <c r="E9" s="5"/>
      <c r="F9" s="5"/>
      <c r="G9" s="6"/>
      <c r="I9" s="10"/>
      <c r="J9" s="10"/>
    </row>
    <row r="10" spans="1:15" x14ac:dyDescent="0.2">
      <c r="B10" s="11" t="s">
        <v>12</v>
      </c>
      <c r="C10" s="12"/>
      <c r="D10" s="13" t="s">
        <v>13</v>
      </c>
      <c r="E10" s="14"/>
      <c r="F10" s="14"/>
      <c r="G10" s="15"/>
      <c r="I10" s="16"/>
      <c r="J10" s="16"/>
    </row>
    <row r="11" spans="1:15" ht="13.5" thickBot="1" x14ac:dyDescent="0.25">
      <c r="B11" s="361" t="s">
        <v>14</v>
      </c>
      <c r="C11" s="362"/>
      <c r="D11" s="17" t="s">
        <v>15</v>
      </c>
      <c r="E11" s="18"/>
      <c r="F11" s="18"/>
      <c r="G11" s="19"/>
    </row>
    <row r="12" spans="1:15" x14ac:dyDescent="0.2">
      <c r="B12" s="16"/>
      <c r="C12" s="16"/>
    </row>
    <row r="13" spans="1:15" ht="13.5" thickBot="1" x14ac:dyDescent="0.25"/>
    <row r="14" spans="1:15" ht="15.75" x14ac:dyDescent="0.2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 x14ac:dyDescent="0.2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">
      <c r="A17" s="24"/>
      <c r="B17" s="30" t="s">
        <v>31</v>
      </c>
      <c r="C17" s="31" t="s">
        <v>32</v>
      </c>
      <c r="D17" s="32">
        <f>[1]libor!H7</f>
        <v>7.2199999999999999E-3</v>
      </c>
      <c r="E17" s="32">
        <f>[1]libor!F7</f>
        <v>1.5200000000000001E-3</v>
      </c>
      <c r="F17" s="32">
        <v>5.7000000000000002E-3</v>
      </c>
      <c r="G17" s="30"/>
      <c r="H17" s="33">
        <v>551600000</v>
      </c>
      <c r="I17" s="33">
        <f>[1]libor!K7</f>
        <v>439762694.67000002</v>
      </c>
      <c r="J17" s="34">
        <f>[1]libor!L7</f>
        <v>264579.96999999997</v>
      </c>
      <c r="K17" s="35">
        <f>-'[1]DD certif'!I68</f>
        <v>9385258.0500000007</v>
      </c>
      <c r="L17" s="34">
        <f>I17-K17</f>
        <v>430377436.62</v>
      </c>
      <c r="M17" s="36">
        <f>H17/H21</f>
        <v>0.97095581763773986</v>
      </c>
      <c r="N17" s="36" t="s">
        <v>33</v>
      </c>
      <c r="O17" s="37">
        <v>47175</v>
      </c>
      <c r="Q17" s="38"/>
    </row>
    <row r="18" spans="1:17" x14ac:dyDescent="0.2">
      <c r="A18" s="24"/>
      <c r="B18" s="31" t="s">
        <v>34</v>
      </c>
      <c r="C18" s="31" t="s">
        <v>35</v>
      </c>
      <c r="D18" s="39">
        <v>1.4999999999999999E-2</v>
      </c>
      <c r="E18" s="39"/>
      <c r="F18" s="39"/>
      <c r="G18" s="31"/>
      <c r="H18" s="40">
        <v>16500000</v>
      </c>
      <c r="I18" s="40">
        <f>[1]libor!K8</f>
        <v>16500000</v>
      </c>
      <c r="J18" s="41">
        <f>[1]libor!L8</f>
        <v>20624.18</v>
      </c>
      <c r="K18" s="42">
        <v>0</v>
      </c>
      <c r="L18" s="41">
        <f>I18-K18</f>
        <v>16500000</v>
      </c>
      <c r="M18" s="43">
        <f>H18/H21</f>
        <v>2.9044182362260165E-2</v>
      </c>
      <c r="N18" s="43" t="s">
        <v>33</v>
      </c>
      <c r="O18" s="44">
        <v>48512</v>
      </c>
      <c r="Q18" s="38"/>
    </row>
    <row r="19" spans="1:17" x14ac:dyDescent="0.2">
      <c r="A19" s="24"/>
      <c r="B19" s="31"/>
      <c r="C19" s="31"/>
      <c r="D19" s="39"/>
      <c r="E19" s="39"/>
      <c r="F19" s="39"/>
      <c r="G19" s="31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">
      <c r="A20" s="45"/>
      <c r="B20" s="46"/>
      <c r="C20" s="46"/>
      <c r="D20" s="47"/>
      <c r="E20" s="46"/>
      <c r="F20" s="46"/>
      <c r="G20" s="46"/>
      <c r="H20" s="48"/>
      <c r="I20" s="49"/>
      <c r="J20" s="49"/>
      <c r="K20" s="50"/>
      <c r="L20" s="49"/>
      <c r="M20" s="51"/>
      <c r="N20" s="51"/>
      <c r="O20" s="52"/>
    </row>
    <row r="21" spans="1:17" x14ac:dyDescent="0.2">
      <c r="A21" s="45"/>
      <c r="B21" s="53" t="s">
        <v>36</v>
      </c>
      <c r="C21" s="54"/>
      <c r="D21" s="55"/>
      <c r="E21" s="46"/>
      <c r="F21" s="46"/>
      <c r="G21" s="46"/>
      <c r="H21" s="56">
        <f>SUM(H17:H20)</f>
        <v>568100000</v>
      </c>
      <c r="I21" s="56">
        <f>SUM(I17:I20)</f>
        <v>456262694.67000002</v>
      </c>
      <c r="J21" s="56">
        <f>SUM(J17:J19)</f>
        <v>285204.14999999997</v>
      </c>
      <c r="K21" s="56">
        <f>SUM(K17:K19)</f>
        <v>9385258.0500000007</v>
      </c>
      <c r="L21" s="56">
        <f>SUM(L17:L19)</f>
        <v>446877436.62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37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75" customFormat="1" x14ac:dyDescent="0.2">
      <c r="A27" s="69"/>
      <c r="B27" s="70"/>
      <c r="C27" s="70"/>
      <c r="D27" s="70"/>
      <c r="E27" s="70"/>
      <c r="F27" s="70" t="s">
        <v>40</v>
      </c>
      <c r="G27" s="70" t="s">
        <v>41</v>
      </c>
      <c r="H27" s="71" t="s">
        <v>42</v>
      </c>
      <c r="I27" s="2"/>
      <c r="J27" s="72"/>
      <c r="K27" s="73"/>
      <c r="L27" s="74" t="s">
        <v>43</v>
      </c>
      <c r="M27" s="363" t="s">
        <v>44</v>
      </c>
      <c r="N27" s="363"/>
      <c r="O27" s="364"/>
    </row>
    <row r="28" spans="1:17" x14ac:dyDescent="0.2">
      <c r="A28" s="72"/>
      <c r="B28" s="76" t="s">
        <v>45</v>
      </c>
      <c r="C28" s="76"/>
      <c r="D28" s="76"/>
      <c r="E28" s="76"/>
      <c r="F28" s="77">
        <f>'[1]2nd Mrkt'!F17</f>
        <v>451444346.87</v>
      </c>
      <c r="G28" s="78">
        <f>+H28-F28</f>
        <v>-8600259.2900000215</v>
      </c>
      <c r="H28" s="79">
        <f>'[1]2nd Mrkt'!H17</f>
        <v>442844087.57999998</v>
      </c>
      <c r="I28" s="80"/>
      <c r="J28" s="45"/>
      <c r="K28" s="81"/>
      <c r="L28" s="82"/>
      <c r="M28" s="365" t="s">
        <v>46</v>
      </c>
      <c r="N28" s="365"/>
      <c r="O28" s="366"/>
    </row>
    <row r="29" spans="1:17" x14ac:dyDescent="0.2">
      <c r="A29" s="24"/>
      <c r="B29" s="16" t="s">
        <v>47</v>
      </c>
      <c r="C29" s="16"/>
      <c r="D29" s="16"/>
      <c r="E29" s="16"/>
      <c r="F29" s="83">
        <f>'[1]2nd Mrkt'!F18</f>
        <v>8389235.9700000007</v>
      </c>
      <c r="G29" s="84">
        <f>+H29-F29</f>
        <v>-298336.55000000075</v>
      </c>
      <c r="H29" s="85">
        <f>'[1]2nd Mrkt'!H18</f>
        <v>8090899.4199999999</v>
      </c>
      <c r="J29" s="86" t="s">
        <v>48</v>
      </c>
      <c r="K29" s="87"/>
      <c r="L29" s="88">
        <v>2.29E-2</v>
      </c>
      <c r="M29" s="89"/>
      <c r="N29" s="90">
        <v>-16.14</v>
      </c>
      <c r="O29" s="91"/>
    </row>
    <row r="30" spans="1:17" x14ac:dyDescent="0.2">
      <c r="A30" s="24"/>
      <c r="B30" s="92" t="s">
        <v>49</v>
      </c>
      <c r="C30" s="92"/>
      <c r="D30" s="92"/>
      <c r="E30" s="92"/>
      <c r="F30" s="93">
        <f>SUM(F28:F29)</f>
        <v>459833582.84000003</v>
      </c>
      <c r="G30" s="94">
        <f>SUM(G28:G29)</f>
        <v>-8898595.8400000222</v>
      </c>
      <c r="H30" s="95">
        <f>H28+H29</f>
        <v>450934987</v>
      </c>
      <c r="I30" s="80"/>
      <c r="J30" s="86" t="s">
        <v>50</v>
      </c>
      <c r="K30" s="87"/>
      <c r="L30" s="88">
        <v>1.14E-2</v>
      </c>
      <c r="M30" s="96"/>
      <c r="N30" s="97">
        <v>-3.34</v>
      </c>
      <c r="O30" s="98"/>
    </row>
    <row r="31" spans="1:17" x14ac:dyDescent="0.2">
      <c r="A31" s="24"/>
      <c r="B31" s="16"/>
      <c r="C31" s="16"/>
      <c r="D31" s="16"/>
      <c r="E31" s="16"/>
      <c r="F31" s="83"/>
      <c r="G31" s="99"/>
      <c r="H31" s="85"/>
      <c r="I31" s="80"/>
      <c r="J31" s="86" t="s">
        <v>51</v>
      </c>
      <c r="K31" s="87"/>
      <c r="L31" s="88">
        <v>0.1658</v>
      </c>
      <c r="M31" s="96"/>
      <c r="N31" s="97">
        <v>-16.77</v>
      </c>
      <c r="O31" s="98"/>
    </row>
    <row r="32" spans="1:17" x14ac:dyDescent="0.2">
      <c r="A32" s="24"/>
      <c r="B32" s="16"/>
      <c r="C32" s="16"/>
      <c r="D32" s="16"/>
      <c r="E32" s="16"/>
      <c r="F32" s="83"/>
      <c r="G32" s="99"/>
      <c r="H32" s="85"/>
      <c r="I32" s="80"/>
      <c r="J32" s="86" t="s">
        <v>52</v>
      </c>
      <c r="K32" s="87"/>
      <c r="L32" s="88">
        <v>0.1676</v>
      </c>
      <c r="M32" s="100"/>
      <c r="N32" s="101">
        <v>-3.1</v>
      </c>
      <c r="O32" s="102"/>
    </row>
    <row r="33" spans="1:15" ht="15.75" customHeight="1" x14ac:dyDescent="0.2">
      <c r="A33" s="24"/>
      <c r="B33" s="16"/>
      <c r="C33" s="16"/>
      <c r="D33" s="16"/>
      <c r="E33" s="16"/>
      <c r="F33" s="103"/>
      <c r="G33" s="104"/>
      <c r="H33" s="105"/>
      <c r="I33" s="80"/>
      <c r="J33" s="106"/>
      <c r="K33" s="107"/>
      <c r="L33" s="108"/>
      <c r="M33" s="109"/>
      <c r="N33" s="110"/>
      <c r="O33" s="111"/>
    </row>
    <row r="34" spans="1:15" x14ac:dyDescent="0.2">
      <c r="A34" s="24"/>
      <c r="B34" s="16" t="s">
        <v>53</v>
      </c>
      <c r="C34" s="16"/>
      <c r="D34" s="16"/>
      <c r="E34" s="16"/>
      <c r="F34" s="83">
        <f>'[1]2nd Mrkt'!F23</f>
        <v>5.27</v>
      </c>
      <c r="G34" s="84">
        <f>H34-F34</f>
        <v>1.0000000000000675E-2</v>
      </c>
      <c r="H34" s="85">
        <f>'[1]2nd Mrkt'!H23</f>
        <v>5.28</v>
      </c>
      <c r="J34" s="86" t="s">
        <v>54</v>
      </c>
      <c r="K34" s="87"/>
      <c r="L34" s="88">
        <f>62.53%-0.01%</f>
        <v>0.62519999999999998</v>
      </c>
      <c r="M34" s="89"/>
      <c r="N34" s="90">
        <v>60.2</v>
      </c>
      <c r="O34" s="91"/>
    </row>
    <row r="35" spans="1:15" x14ac:dyDescent="0.2">
      <c r="A35" s="24"/>
      <c r="B35" s="16" t="s">
        <v>55</v>
      </c>
      <c r="C35" s="16"/>
      <c r="D35" s="16"/>
      <c r="E35" s="16"/>
      <c r="F35" s="83">
        <f>'[1]2nd Mrkt'!F24</f>
        <v>121.65</v>
      </c>
      <c r="G35" s="84">
        <f t="shared" ref="G35:G39" si="0">H35-F35</f>
        <v>0</v>
      </c>
      <c r="H35" s="85">
        <f>'[1]2nd Mrkt'!H24</f>
        <v>121.65</v>
      </c>
      <c r="J35" s="86" t="s">
        <v>56</v>
      </c>
      <c r="K35" s="87"/>
      <c r="L35" s="88">
        <v>6.7999999999999996E-3</v>
      </c>
      <c r="M35" s="96"/>
      <c r="N35" s="97">
        <v>66.41</v>
      </c>
      <c r="O35" s="98"/>
    </row>
    <row r="36" spans="1:15" ht="12.75" customHeight="1" x14ac:dyDescent="0.2">
      <c r="A36" s="24"/>
      <c r="B36" s="16" t="s">
        <v>57</v>
      </c>
      <c r="C36" s="16"/>
      <c r="D36" s="16"/>
      <c r="E36" s="16"/>
      <c r="F36" s="112">
        <f>'[1]2nd Mrkt'!F25</f>
        <v>131358</v>
      </c>
      <c r="G36" s="113">
        <f t="shared" si="0"/>
        <v>-2547</v>
      </c>
      <c r="H36" s="114">
        <f>'[1]2nd Mrkt'!H25</f>
        <v>128811</v>
      </c>
      <c r="J36" s="86" t="s">
        <v>58</v>
      </c>
      <c r="K36" s="87"/>
      <c r="L36" s="88">
        <v>2.9999999999999997E-4</v>
      </c>
      <c r="M36" s="96"/>
      <c r="N36" s="97">
        <v>59.98</v>
      </c>
      <c r="O36" s="98"/>
    </row>
    <row r="37" spans="1:15" ht="13.5" thickBot="1" x14ac:dyDescent="0.25">
      <c r="A37" s="24"/>
      <c r="B37" s="16" t="s">
        <v>59</v>
      </c>
      <c r="C37" s="16"/>
      <c r="D37" s="16"/>
      <c r="E37" s="16"/>
      <c r="F37" s="112">
        <f>'[1]2nd Mrkt'!F26</f>
        <v>59355</v>
      </c>
      <c r="G37" s="113">
        <f t="shared" si="0"/>
        <v>-1179</v>
      </c>
      <c r="H37" s="114">
        <f>'[1]2nd Mrkt'!H26</f>
        <v>58176</v>
      </c>
      <c r="J37" s="115" t="s">
        <v>60</v>
      </c>
      <c r="K37" s="87"/>
      <c r="L37" s="116"/>
      <c r="M37" s="117"/>
      <c r="N37" s="118">
        <v>34.409999999999997</v>
      </c>
      <c r="O37" s="119"/>
    </row>
    <row r="38" spans="1:15" ht="13.5" thickBot="1" x14ac:dyDescent="0.25">
      <c r="A38" s="24"/>
      <c r="B38" s="16" t="s">
        <v>61</v>
      </c>
      <c r="C38" s="16"/>
      <c r="D38" s="16"/>
      <c r="E38" s="16"/>
      <c r="F38" s="120">
        <f>'[1]2nd Mrkt'!F27</f>
        <v>3500.61</v>
      </c>
      <c r="G38" s="84">
        <f t="shared" si="0"/>
        <v>0.13999999999987267</v>
      </c>
      <c r="H38" s="121">
        <f>'[1]2nd Mrkt'!H27</f>
        <v>3500.75</v>
      </c>
      <c r="J38" s="122"/>
      <c r="K38" s="123"/>
      <c r="L38" s="124"/>
      <c r="M38" s="125"/>
      <c r="N38" s="125"/>
      <c r="O38" s="126"/>
    </row>
    <row r="39" spans="1:15" x14ac:dyDescent="0.2">
      <c r="A39" s="45"/>
      <c r="B39" s="127" t="s">
        <v>62</v>
      </c>
      <c r="C39" s="127"/>
      <c r="D39" s="127"/>
      <c r="E39" s="127"/>
      <c r="F39" s="128">
        <f>'[1]2nd Mrkt'!F28</f>
        <v>7747.18</v>
      </c>
      <c r="G39" s="84">
        <f t="shared" si="0"/>
        <v>4.0399999999999636</v>
      </c>
      <c r="H39" s="129">
        <f>'[1]2nd Mrkt'!H28</f>
        <v>7751.22</v>
      </c>
      <c r="J39" s="367" t="s">
        <v>63</v>
      </c>
      <c r="K39" s="368"/>
      <c r="L39" s="368"/>
      <c r="M39" s="368"/>
      <c r="N39" s="368"/>
      <c r="O39" s="369"/>
    </row>
    <row r="40" spans="1:15" s="64" customFormat="1" ht="11.25" x14ac:dyDescent="0.2">
      <c r="A40" s="60"/>
      <c r="B40" s="61"/>
      <c r="C40" s="61"/>
      <c r="D40" s="61"/>
      <c r="E40" s="61"/>
      <c r="F40" s="61"/>
      <c r="G40" s="61"/>
      <c r="H40" s="63"/>
      <c r="J40" s="370"/>
      <c r="K40" s="371"/>
      <c r="L40" s="371"/>
      <c r="M40" s="371"/>
      <c r="N40" s="371"/>
      <c r="O40" s="372"/>
    </row>
    <row r="41" spans="1:15" s="64" customFormat="1" ht="12" thickBot="1" x14ac:dyDescent="0.25">
      <c r="A41" s="65"/>
      <c r="B41" s="66"/>
      <c r="C41" s="66"/>
      <c r="D41" s="66"/>
      <c r="E41" s="66"/>
      <c r="F41" s="66"/>
      <c r="G41" s="66"/>
      <c r="H41" s="68"/>
      <c r="J41" s="373"/>
      <c r="K41" s="374"/>
      <c r="L41" s="374"/>
      <c r="M41" s="374"/>
      <c r="N41" s="374"/>
      <c r="O41" s="375"/>
    </row>
    <row r="42" spans="1:15" ht="13.5" thickBot="1" x14ac:dyDescent="0.25"/>
    <row r="43" spans="1:15" ht="15.75" x14ac:dyDescent="0.25">
      <c r="A43" s="20" t="s">
        <v>64</v>
      </c>
      <c r="B43" s="22"/>
      <c r="C43" s="22"/>
      <c r="D43" s="22"/>
      <c r="E43" s="22"/>
      <c r="F43" s="22"/>
      <c r="G43" s="22"/>
      <c r="H43" s="23"/>
      <c r="I43" s="16"/>
      <c r="J43" s="16"/>
      <c r="L43" s="16"/>
    </row>
    <row r="44" spans="1:15" x14ac:dyDescent="0.2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130"/>
    </row>
    <row r="45" spans="1:15" x14ac:dyDescent="0.2">
      <c r="A45" s="69"/>
      <c r="B45" s="70"/>
      <c r="C45" s="70"/>
      <c r="D45" s="70"/>
      <c r="E45" s="70"/>
      <c r="F45" s="131" t="s">
        <v>65</v>
      </c>
      <c r="G45" s="27" t="s">
        <v>41</v>
      </c>
      <c r="H45" s="132" t="s">
        <v>42</v>
      </c>
      <c r="I45" s="92"/>
      <c r="J45" s="133"/>
      <c r="L45" s="130"/>
    </row>
    <row r="46" spans="1:15" x14ac:dyDescent="0.2">
      <c r="A46" s="24"/>
      <c r="B46" s="16" t="s">
        <v>66</v>
      </c>
      <c r="C46" s="16"/>
      <c r="D46" s="16"/>
      <c r="E46" s="73"/>
      <c r="F46" s="134">
        <v>1171791.96</v>
      </c>
      <c r="G46" s="84">
        <f t="shared" ref="G46:G53" si="1">+H46-F46</f>
        <v>-22208</v>
      </c>
      <c r="H46" s="134">
        <f>'[1]DD certif'!I4</f>
        <v>1149583.96</v>
      </c>
      <c r="I46" s="16"/>
      <c r="J46" s="135"/>
      <c r="L46" s="130"/>
    </row>
    <row r="47" spans="1:15" x14ac:dyDescent="0.2">
      <c r="A47" s="24"/>
      <c r="B47" s="16" t="s">
        <v>67</v>
      </c>
      <c r="C47" s="16"/>
      <c r="D47" s="16"/>
      <c r="E47" s="87"/>
      <c r="F47" s="134">
        <v>1149583.96</v>
      </c>
      <c r="G47" s="84">
        <f t="shared" si="1"/>
        <v>-22246.489999999991</v>
      </c>
      <c r="H47" s="134">
        <f>'[1]DD certif'!I3</f>
        <v>1127337.47</v>
      </c>
      <c r="I47" s="16"/>
      <c r="J47" s="136"/>
    </row>
    <row r="48" spans="1:15" x14ac:dyDescent="0.2">
      <c r="A48" s="24"/>
      <c r="B48" s="16" t="s">
        <v>68</v>
      </c>
      <c r="C48" s="16"/>
      <c r="D48" s="16"/>
      <c r="E48" s="87"/>
      <c r="F48" s="134"/>
      <c r="G48" s="84">
        <f t="shared" si="1"/>
        <v>0</v>
      </c>
      <c r="H48" s="134">
        <v>0</v>
      </c>
      <c r="I48" s="16"/>
      <c r="J48" s="137"/>
      <c r="L48" s="138"/>
    </row>
    <row r="49" spans="1:14" x14ac:dyDescent="0.2">
      <c r="A49" s="24"/>
      <c r="B49" s="16" t="s">
        <v>69</v>
      </c>
      <c r="C49" s="16"/>
      <c r="D49" s="16"/>
      <c r="E49" s="87"/>
      <c r="F49" s="134"/>
      <c r="G49" s="84">
        <f t="shared" si="1"/>
        <v>0</v>
      </c>
      <c r="H49" s="134">
        <v>0</v>
      </c>
      <c r="I49" s="16"/>
      <c r="J49" s="136"/>
      <c r="L49" s="138"/>
    </row>
    <row r="50" spans="1:14" x14ac:dyDescent="0.2">
      <c r="A50" s="24"/>
      <c r="B50" s="16" t="s">
        <v>70</v>
      </c>
      <c r="C50" s="16"/>
      <c r="D50" s="16"/>
      <c r="E50" s="87"/>
      <c r="F50" s="134">
        <v>11407632.15</v>
      </c>
      <c r="G50" s="84">
        <f t="shared" si="1"/>
        <v>-703967.21000000089</v>
      </c>
      <c r="H50" s="134">
        <f>'[1]DD certif'!B10</f>
        <v>10703664.939999999</v>
      </c>
      <c r="I50" s="16"/>
      <c r="J50" s="135"/>
      <c r="L50" s="16"/>
    </row>
    <row r="51" spans="1:14" x14ac:dyDescent="0.2">
      <c r="A51" s="24"/>
      <c r="B51" s="16" t="s">
        <v>71</v>
      </c>
      <c r="C51" s="16"/>
      <c r="D51" s="16"/>
      <c r="E51" s="16"/>
      <c r="F51" s="139"/>
      <c r="G51" s="83">
        <f t="shared" si="1"/>
        <v>0</v>
      </c>
      <c r="H51" s="134">
        <v>0</v>
      </c>
      <c r="I51" s="16"/>
      <c r="J51" s="135"/>
      <c r="K51" s="138"/>
      <c r="L51" s="135"/>
      <c r="M51" s="140"/>
    </row>
    <row r="52" spans="1:14" x14ac:dyDescent="0.2">
      <c r="A52" s="24"/>
      <c r="B52" s="16" t="s">
        <v>72</v>
      </c>
      <c r="C52" s="16"/>
      <c r="D52" s="16"/>
      <c r="E52" s="16"/>
      <c r="F52" s="139"/>
      <c r="G52" s="83"/>
      <c r="H52" s="134"/>
      <c r="I52" s="16"/>
      <c r="J52" s="16"/>
      <c r="L52" s="16"/>
    </row>
    <row r="53" spans="1:14" x14ac:dyDescent="0.2">
      <c r="A53" s="24"/>
      <c r="B53" s="92" t="s">
        <v>73</v>
      </c>
      <c r="C53" s="16"/>
      <c r="D53" s="16"/>
      <c r="E53" s="16"/>
      <c r="F53" s="141">
        <v>12557216.109999999</v>
      </c>
      <c r="G53" s="93">
        <f t="shared" si="1"/>
        <v>-726213.69999999925</v>
      </c>
      <c r="H53" s="142">
        <f>H47+H48+H50+H51</f>
        <v>11831002.41</v>
      </c>
      <c r="I53" s="16"/>
      <c r="J53" s="135"/>
      <c r="K53" s="143"/>
      <c r="L53" s="135"/>
    </row>
    <row r="54" spans="1:14" x14ac:dyDescent="0.2">
      <c r="A54" s="24"/>
      <c r="B54" s="16"/>
      <c r="C54" s="16"/>
      <c r="D54" s="16"/>
      <c r="E54" s="16"/>
      <c r="F54" s="144"/>
      <c r="G54" s="145"/>
      <c r="H54" s="25"/>
      <c r="I54" s="16"/>
      <c r="J54" s="16"/>
      <c r="L54" s="16"/>
    </row>
    <row r="55" spans="1:14" x14ac:dyDescent="0.2">
      <c r="A55" s="60"/>
      <c r="B55" s="62"/>
      <c r="C55" s="62"/>
      <c r="D55" s="62"/>
      <c r="E55" s="62"/>
      <c r="F55" s="146"/>
      <c r="G55" s="147"/>
      <c r="H55" s="148"/>
      <c r="I55" s="16"/>
      <c r="J55" s="16"/>
    </row>
    <row r="56" spans="1:14" x14ac:dyDescent="0.2">
      <c r="A56" s="60"/>
      <c r="B56" s="62"/>
      <c r="C56" s="62"/>
      <c r="D56" s="62"/>
      <c r="E56" s="62"/>
      <c r="F56" s="146"/>
      <c r="G56" s="147"/>
      <c r="H56" s="148"/>
      <c r="I56" s="16"/>
      <c r="J56" s="16"/>
      <c r="L56" s="80"/>
      <c r="M56" s="80"/>
    </row>
    <row r="57" spans="1:14" ht="13.5" thickBot="1" x14ac:dyDescent="0.25">
      <c r="A57" s="149"/>
      <c r="B57" s="67"/>
      <c r="C57" s="67"/>
      <c r="D57" s="67"/>
      <c r="E57" s="67"/>
      <c r="F57" s="150"/>
      <c r="G57" s="151"/>
      <c r="H57" s="152"/>
    </row>
    <row r="59" spans="1:14" ht="13.5" thickBot="1" x14ac:dyDescent="0.25">
      <c r="F59" s="67"/>
      <c r="G59" s="67"/>
      <c r="I59" s="16"/>
    </row>
    <row r="60" spans="1:14" ht="16.5" thickBot="1" x14ac:dyDescent="0.3">
      <c r="A60" s="20" t="s">
        <v>74</v>
      </c>
      <c r="B60" s="22"/>
      <c r="C60" s="22"/>
      <c r="D60" s="22"/>
      <c r="E60" s="22"/>
      <c r="F60" s="16"/>
      <c r="G60" s="16"/>
      <c r="H60" s="23"/>
      <c r="J60" s="153" t="s">
        <v>75</v>
      </c>
      <c r="K60" s="154"/>
      <c r="N60" s="140"/>
    </row>
    <row r="61" spans="1:14" ht="6.75" customHeight="1" thickBot="1" x14ac:dyDescent="0.25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75" customFormat="1" x14ac:dyDescent="0.2">
      <c r="A62" s="69"/>
      <c r="B62" s="70"/>
      <c r="C62" s="70"/>
      <c r="D62" s="70"/>
      <c r="E62" s="70"/>
      <c r="F62" s="27" t="s">
        <v>65</v>
      </c>
      <c r="G62" s="27" t="s">
        <v>41</v>
      </c>
      <c r="H62" s="132" t="s">
        <v>42</v>
      </c>
      <c r="J62" s="155"/>
      <c r="K62" s="156"/>
    </row>
    <row r="63" spans="1:14" x14ac:dyDescent="0.2">
      <c r="A63" s="72"/>
      <c r="B63" s="157" t="s">
        <v>76</v>
      </c>
      <c r="C63" s="76"/>
      <c r="D63" s="76"/>
      <c r="E63" s="76"/>
      <c r="F63" s="158"/>
      <c r="G63" s="73"/>
      <c r="H63" s="159"/>
      <c r="J63" s="24" t="s">
        <v>77</v>
      </c>
      <c r="K63" s="160">
        <f>'[1]CPR prepmt'!G26</f>
        <v>0.13347480349348717</v>
      </c>
    </row>
    <row r="64" spans="1:14" ht="15" thickBot="1" x14ac:dyDescent="0.25">
      <c r="A64" s="24"/>
      <c r="B64" s="16" t="s">
        <v>78</v>
      </c>
      <c r="C64" s="16"/>
      <c r="D64" s="16"/>
      <c r="E64" s="87"/>
      <c r="F64" s="41">
        <v>463584233.55000001</v>
      </c>
      <c r="G64" s="42">
        <f>-F64+H64</f>
        <v>-9033801.6999999881</v>
      </c>
      <c r="H64" s="134">
        <f>'[1]DD certif'!K34</f>
        <v>454550431.85000002</v>
      </c>
      <c r="I64" s="80"/>
      <c r="J64" s="149"/>
      <c r="K64" s="152"/>
    </row>
    <row r="65" spans="1:15" x14ac:dyDescent="0.2">
      <c r="A65" s="24"/>
      <c r="B65" s="16" t="s">
        <v>79</v>
      </c>
      <c r="C65" s="16"/>
      <c r="D65" s="16"/>
      <c r="E65" s="16"/>
      <c r="F65" s="41"/>
      <c r="G65" s="42">
        <f>-F65+H65</f>
        <v>0</v>
      </c>
      <c r="H65" s="134">
        <f>H48</f>
        <v>0</v>
      </c>
      <c r="I65" s="80"/>
      <c r="J65" s="62"/>
      <c r="K65" s="16"/>
    </row>
    <row r="66" spans="1:15" x14ac:dyDescent="0.2">
      <c r="A66" s="24"/>
      <c r="B66" s="16" t="s">
        <v>80</v>
      </c>
      <c r="C66" s="16"/>
      <c r="D66" s="16"/>
      <c r="E66" s="16"/>
      <c r="F66" s="41">
        <v>1149583.96</v>
      </c>
      <c r="G66" s="42">
        <f>(-F66+H66)</f>
        <v>-22246.489999999991</v>
      </c>
      <c r="H66" s="134">
        <f>H46+G47</f>
        <v>1127337.47</v>
      </c>
      <c r="I66" s="80"/>
      <c r="J66" s="16"/>
      <c r="K66" s="16"/>
    </row>
    <row r="67" spans="1:15" x14ac:dyDescent="0.2">
      <c r="A67" s="24"/>
      <c r="B67" s="16" t="s">
        <v>71</v>
      </c>
      <c r="C67" s="16"/>
      <c r="D67" s="16"/>
      <c r="E67" s="16"/>
      <c r="F67" s="161"/>
      <c r="G67" s="50">
        <f>-F67+H67</f>
        <v>0</v>
      </c>
      <c r="H67" s="162">
        <v>0</v>
      </c>
    </row>
    <row r="68" spans="1:15" ht="13.5" thickBot="1" x14ac:dyDescent="0.25">
      <c r="A68" s="24"/>
      <c r="B68" s="92" t="s">
        <v>81</v>
      </c>
      <c r="C68" s="16"/>
      <c r="D68" s="16"/>
      <c r="E68" s="16"/>
      <c r="F68" s="163">
        <v>464733817.50999999</v>
      </c>
      <c r="G68" s="164">
        <f>SUM(G64:G67)</f>
        <v>-9056048.1899999883</v>
      </c>
      <c r="H68" s="142">
        <f>SUM(H64:H67)</f>
        <v>455677769.32000005</v>
      </c>
      <c r="I68" s="80"/>
      <c r="J68" s="80"/>
    </row>
    <row r="69" spans="1:15" ht="15.75" x14ac:dyDescent="0.25">
      <c r="A69" s="24"/>
      <c r="B69" s="16"/>
      <c r="C69" s="16"/>
      <c r="D69" s="16"/>
      <c r="E69" s="16"/>
      <c r="F69" s="41"/>
      <c r="G69" s="42"/>
      <c r="H69" s="142"/>
      <c r="J69" s="20" t="s">
        <v>82</v>
      </c>
      <c r="K69" s="22"/>
      <c r="L69" s="22"/>
      <c r="M69" s="22"/>
      <c r="N69" s="22"/>
      <c r="O69" s="23"/>
    </row>
    <row r="70" spans="1:15" ht="6.75" customHeight="1" x14ac:dyDescent="0.2">
      <c r="A70" s="24"/>
      <c r="B70" s="92"/>
      <c r="C70" s="16"/>
      <c r="D70" s="16"/>
      <c r="E70" s="16"/>
      <c r="F70" s="41"/>
      <c r="G70" s="42"/>
      <c r="H70" s="134"/>
      <c r="J70" s="24"/>
      <c r="K70" s="16"/>
      <c r="L70" s="16"/>
      <c r="M70" s="16"/>
      <c r="N70" s="16"/>
      <c r="O70" s="25"/>
    </row>
    <row r="71" spans="1:15" x14ac:dyDescent="0.2">
      <c r="A71" s="24"/>
      <c r="B71" s="92" t="s">
        <v>83</v>
      </c>
      <c r="C71" s="16"/>
      <c r="D71" s="16"/>
      <c r="E71" s="16"/>
      <c r="F71" s="41"/>
      <c r="G71" s="42"/>
      <c r="H71" s="134"/>
      <c r="J71" s="26"/>
      <c r="K71" s="165"/>
      <c r="L71" s="27" t="s">
        <v>84</v>
      </c>
      <c r="M71" s="27" t="s">
        <v>85</v>
      </c>
      <c r="N71" s="27" t="s">
        <v>86</v>
      </c>
      <c r="O71" s="132" t="s">
        <v>87</v>
      </c>
    </row>
    <row r="72" spans="1:15" x14ac:dyDescent="0.2">
      <c r="A72" s="24"/>
      <c r="B72" s="16" t="s">
        <v>88</v>
      </c>
      <c r="C72" s="16"/>
      <c r="D72" s="16"/>
      <c r="E72" s="16"/>
      <c r="F72" s="41">
        <v>439762694.67000002</v>
      </c>
      <c r="G72" s="42">
        <f>-K17</f>
        <v>-9385258.0500000007</v>
      </c>
      <c r="H72" s="134">
        <f>L17</f>
        <v>430377436.62</v>
      </c>
      <c r="I72" s="80"/>
      <c r="J72" s="24" t="s">
        <v>89</v>
      </c>
      <c r="K72" s="16"/>
      <c r="L72" s="166">
        <v>341523398.56999999</v>
      </c>
      <c r="M72" s="167">
        <v>0.75739999999999996</v>
      </c>
      <c r="N72" s="168">
        <v>103764</v>
      </c>
      <c r="O72" s="169">
        <v>2931618.96</v>
      </c>
    </row>
    <row r="73" spans="1:15" x14ac:dyDescent="0.2">
      <c r="A73" s="24"/>
      <c r="B73" s="16" t="s">
        <v>90</v>
      </c>
      <c r="C73" s="16"/>
      <c r="D73" s="16"/>
      <c r="E73" s="16"/>
      <c r="F73" s="49">
        <v>16500000</v>
      </c>
      <c r="G73" s="50">
        <f>-F73+H73</f>
        <v>0</v>
      </c>
      <c r="H73" s="162">
        <f>L18</f>
        <v>16500000</v>
      </c>
      <c r="I73" s="80"/>
      <c r="J73" s="24" t="s">
        <v>91</v>
      </c>
      <c r="K73" s="16"/>
      <c r="L73" s="166">
        <v>63512969.700000003</v>
      </c>
      <c r="M73" s="167">
        <v>0.14080000000000001</v>
      </c>
      <c r="N73" s="168">
        <v>16724</v>
      </c>
      <c r="O73" s="169" t="s">
        <v>92</v>
      </c>
    </row>
    <row r="74" spans="1:15" x14ac:dyDescent="0.2">
      <c r="A74" s="24"/>
      <c r="B74" s="92" t="s">
        <v>93</v>
      </c>
      <c r="C74" s="16"/>
      <c r="D74" s="16"/>
      <c r="E74" s="16"/>
      <c r="F74" s="170">
        <v>456262694.67000002</v>
      </c>
      <c r="G74" s="164">
        <f>SUM(G72:G73)</f>
        <v>-9385258.0500000007</v>
      </c>
      <c r="H74" s="142">
        <f>SUM(H72:H73)</f>
        <v>446877436.62</v>
      </c>
      <c r="J74" s="24" t="s">
        <v>94</v>
      </c>
      <c r="K74" s="16"/>
      <c r="L74" s="166">
        <v>45898618.729999997</v>
      </c>
      <c r="M74" s="167">
        <v>0.1018</v>
      </c>
      <c r="N74" s="168">
        <v>8323</v>
      </c>
      <c r="O74" s="169">
        <v>150925.41</v>
      </c>
    </row>
    <row r="75" spans="1:15" x14ac:dyDescent="0.2">
      <c r="A75" s="24"/>
      <c r="B75" s="16"/>
      <c r="C75" s="16"/>
      <c r="D75" s="16"/>
      <c r="E75" s="16"/>
      <c r="F75" s="31"/>
      <c r="G75" s="87"/>
      <c r="H75" s="171"/>
      <c r="I75" s="172"/>
      <c r="J75" s="173" t="s">
        <v>95</v>
      </c>
      <c r="K75" s="127"/>
      <c r="L75" s="174">
        <v>450934987</v>
      </c>
      <c r="M75" s="175"/>
      <c r="N75" s="176">
        <v>128811</v>
      </c>
      <c r="O75" s="177">
        <v>3082544.37</v>
      </c>
    </row>
    <row r="76" spans="1:15" ht="13.5" thickBot="1" x14ac:dyDescent="0.25">
      <c r="A76" s="24"/>
      <c r="B76" s="16"/>
      <c r="C76" s="92"/>
      <c r="D76" s="92"/>
      <c r="E76" s="92"/>
      <c r="F76" s="178"/>
      <c r="G76" s="179"/>
      <c r="H76" s="180"/>
      <c r="J76" s="149"/>
      <c r="K76" s="67"/>
      <c r="L76" s="67"/>
      <c r="M76" s="67"/>
      <c r="N76" s="67"/>
      <c r="O76" s="152"/>
    </row>
    <row r="77" spans="1:15" x14ac:dyDescent="0.2">
      <c r="A77" s="24"/>
      <c r="B77" s="16"/>
      <c r="C77" s="16"/>
      <c r="D77" s="16"/>
      <c r="E77" s="16"/>
      <c r="F77" s="145"/>
      <c r="G77" s="87"/>
      <c r="H77" s="171"/>
      <c r="I77" s="172"/>
      <c r="J77" s="62"/>
      <c r="K77" s="16"/>
      <c r="L77" s="16"/>
      <c r="M77" s="16"/>
      <c r="N77" s="16"/>
      <c r="O77" s="16"/>
    </row>
    <row r="78" spans="1:15" x14ac:dyDescent="0.2">
      <c r="A78" s="24"/>
      <c r="B78" s="16" t="s">
        <v>96</v>
      </c>
      <c r="C78" s="16"/>
      <c r="D78" s="16"/>
      <c r="E78" s="16"/>
      <c r="F78" s="43">
        <v>1.0568</v>
      </c>
      <c r="G78" s="181"/>
      <c r="H78" s="182">
        <f>+H68/H72</f>
        <v>1.0587863827125743</v>
      </c>
      <c r="J78" s="16"/>
      <c r="K78" s="16"/>
      <c r="L78" s="16"/>
      <c r="M78" s="16"/>
      <c r="N78" s="16"/>
      <c r="O78" s="16"/>
    </row>
    <row r="79" spans="1:15" x14ac:dyDescent="0.2">
      <c r="A79" s="24"/>
      <c r="B79" s="16" t="s">
        <v>97</v>
      </c>
      <c r="C79" s="16"/>
      <c r="D79" s="16"/>
      <c r="E79" s="16"/>
      <c r="F79" s="43">
        <v>1.0185999999999999</v>
      </c>
      <c r="G79" s="181"/>
      <c r="H79" s="182">
        <f>+H68/H74</f>
        <v>1.0196929448185217</v>
      </c>
      <c r="J79" s="16"/>
      <c r="K79" s="16"/>
      <c r="L79" s="16"/>
      <c r="M79" s="16"/>
      <c r="N79" s="16"/>
      <c r="O79" s="16"/>
    </row>
    <row r="80" spans="1:15" x14ac:dyDescent="0.2">
      <c r="A80" s="45"/>
      <c r="B80" s="127"/>
      <c r="C80" s="127"/>
      <c r="D80" s="127"/>
      <c r="E80" s="127"/>
      <c r="F80" s="46"/>
      <c r="G80" s="183"/>
      <c r="H80" s="184"/>
    </row>
    <row r="81" spans="1:15" s="64" customFormat="1" ht="11.25" x14ac:dyDescent="0.2">
      <c r="A81" s="185" t="s">
        <v>98</v>
      </c>
      <c r="B81" s="61"/>
      <c r="C81" s="61"/>
      <c r="D81" s="61"/>
      <c r="E81" s="61"/>
      <c r="F81" s="61"/>
      <c r="G81" s="61"/>
      <c r="H81" s="63"/>
    </row>
    <row r="82" spans="1:15" s="64" customFormat="1" ht="12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 x14ac:dyDescent="0.25">
      <c r="A84" s="186" t="str">
        <f>+D4&amp;" - "&amp;D5</f>
        <v>Edsouth Services - Indenture No. 4, LLC</v>
      </c>
      <c r="B84" s="16"/>
      <c r="C84" s="16"/>
      <c r="D84" s="16"/>
      <c r="E84" s="187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 x14ac:dyDescent="0.25">
      <c r="A86" s="20" t="s">
        <v>99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75" customFormat="1" x14ac:dyDescent="0.2">
      <c r="A88" s="69"/>
      <c r="B88" s="70"/>
      <c r="C88" s="70"/>
      <c r="D88" s="70"/>
      <c r="E88" s="188"/>
      <c r="F88" s="355" t="s">
        <v>86</v>
      </c>
      <c r="G88" s="355"/>
      <c r="H88" s="189" t="s">
        <v>100</v>
      </c>
      <c r="I88" s="190"/>
      <c r="J88" s="355" t="s">
        <v>101</v>
      </c>
      <c r="K88" s="355"/>
      <c r="L88" s="355" t="s">
        <v>102</v>
      </c>
      <c r="M88" s="355"/>
      <c r="N88" s="355" t="s">
        <v>103</v>
      </c>
      <c r="O88" s="358"/>
    </row>
    <row r="89" spans="1:15" s="75" customFormat="1" x14ac:dyDescent="0.2">
      <c r="A89" s="69"/>
      <c r="B89" s="70"/>
      <c r="C89" s="70"/>
      <c r="D89" s="70"/>
      <c r="E89" s="188"/>
      <c r="F89" s="27" t="s">
        <v>104</v>
      </c>
      <c r="G89" s="27" t="s">
        <v>105</v>
      </c>
      <c r="H89" s="191" t="s">
        <v>104</v>
      </c>
      <c r="I89" s="192" t="s">
        <v>105</v>
      </c>
      <c r="J89" s="27" t="s">
        <v>104</v>
      </c>
      <c r="K89" s="27" t="s">
        <v>105</v>
      </c>
      <c r="L89" s="27" t="s">
        <v>104</v>
      </c>
      <c r="M89" s="27" t="s">
        <v>105</v>
      </c>
      <c r="N89" s="27" t="s">
        <v>104</v>
      </c>
      <c r="O89" s="29" t="s">
        <v>105</v>
      </c>
    </row>
    <row r="90" spans="1:15" x14ac:dyDescent="0.2">
      <c r="A90" s="193" t="s">
        <v>48</v>
      </c>
      <c r="B90" s="16" t="s">
        <v>48</v>
      </c>
      <c r="C90" s="16"/>
      <c r="D90" s="16"/>
      <c r="E90" s="16"/>
      <c r="F90" s="112">
        <v>2853</v>
      </c>
      <c r="G90" s="112">
        <v>2733</v>
      </c>
      <c r="H90" s="83">
        <v>10780653.75</v>
      </c>
      <c r="I90" s="83">
        <v>10321638.98</v>
      </c>
      <c r="J90" s="167">
        <v>2.3400000000000001E-2</v>
      </c>
      <c r="K90" s="194">
        <v>2.29E-2</v>
      </c>
      <c r="L90" s="195">
        <v>5.9</v>
      </c>
      <c r="M90" s="195">
        <v>5.93</v>
      </c>
      <c r="N90" s="195">
        <v>120</v>
      </c>
      <c r="O90" s="196">
        <v>120</v>
      </c>
    </row>
    <row r="91" spans="1:15" x14ac:dyDescent="0.2">
      <c r="A91" s="193" t="s">
        <v>50</v>
      </c>
      <c r="B91" s="16" t="s">
        <v>50</v>
      </c>
      <c r="C91" s="16"/>
      <c r="D91" s="16"/>
      <c r="E91" s="16"/>
      <c r="F91" s="112">
        <v>1807</v>
      </c>
      <c r="G91" s="112">
        <v>1367</v>
      </c>
      <c r="H91" s="83">
        <v>6619754.2300000004</v>
      </c>
      <c r="I91" s="83">
        <v>5119321.99</v>
      </c>
      <c r="J91" s="167">
        <v>1.44E-2</v>
      </c>
      <c r="K91" s="167">
        <v>1.14E-2</v>
      </c>
      <c r="L91" s="197">
        <v>5.98</v>
      </c>
      <c r="M91" s="197">
        <v>5.96</v>
      </c>
      <c r="N91" s="197">
        <v>118.66</v>
      </c>
      <c r="O91" s="198">
        <v>120.75</v>
      </c>
    </row>
    <row r="92" spans="1:15" x14ac:dyDescent="0.2">
      <c r="A92" s="193" t="s">
        <v>54</v>
      </c>
      <c r="B92" s="16" t="s">
        <v>54</v>
      </c>
      <c r="C92" s="16"/>
      <c r="D92" s="16"/>
      <c r="E92" s="16"/>
      <c r="F92" s="112"/>
      <c r="G92" s="112"/>
      <c r="H92" s="83"/>
      <c r="I92" s="83"/>
      <c r="J92" s="167"/>
      <c r="K92" s="167"/>
      <c r="L92" s="197"/>
      <c r="M92" s="197"/>
      <c r="N92" s="197"/>
      <c r="O92" s="198"/>
    </row>
    <row r="93" spans="1:15" x14ac:dyDescent="0.2">
      <c r="A93" s="193" t="str">
        <f>+$B$92&amp;B93</f>
        <v>RepaymentCurrent</v>
      </c>
      <c r="B93" s="16" t="s">
        <v>106</v>
      </c>
      <c r="C93" s="16"/>
      <c r="D93" s="16"/>
      <c r="E93" s="16"/>
      <c r="F93" s="112">
        <v>72965</v>
      </c>
      <c r="G93" s="112">
        <v>71801</v>
      </c>
      <c r="H93" s="83">
        <v>228213946.56999999</v>
      </c>
      <c r="I93" s="83">
        <v>225138621.52000001</v>
      </c>
      <c r="J93" s="167">
        <v>0.49630000000000002</v>
      </c>
      <c r="K93" s="167">
        <v>0.49930000000000002</v>
      </c>
      <c r="L93" s="197">
        <v>5.31</v>
      </c>
      <c r="M93" s="197">
        <v>5.32</v>
      </c>
      <c r="N93" s="197">
        <v>117.39</v>
      </c>
      <c r="O93" s="198">
        <v>117.63</v>
      </c>
    </row>
    <row r="94" spans="1:15" x14ac:dyDescent="0.2">
      <c r="A94" s="193" t="str">
        <f>+$B$92&amp;B94</f>
        <v>Repayment31-60 Days Delinquent</v>
      </c>
      <c r="B94" s="199" t="s">
        <v>107</v>
      </c>
      <c r="C94" s="16"/>
      <c r="D94" s="16"/>
      <c r="E94" s="16"/>
      <c r="F94" s="112">
        <v>4509</v>
      </c>
      <c r="G94" s="112">
        <v>4449</v>
      </c>
      <c r="H94" s="83">
        <v>17786369.280000001</v>
      </c>
      <c r="I94" s="83">
        <v>16094824.08</v>
      </c>
      <c r="J94" s="167">
        <v>3.8699999999999998E-2</v>
      </c>
      <c r="K94" s="167">
        <v>3.5700000000000003E-2</v>
      </c>
      <c r="L94" s="197">
        <v>5.15</v>
      </c>
      <c r="M94" s="197">
        <v>5.1100000000000003</v>
      </c>
      <c r="N94" s="197">
        <v>129.01</v>
      </c>
      <c r="O94" s="198">
        <v>117.68</v>
      </c>
    </row>
    <row r="95" spans="1:15" x14ac:dyDescent="0.2">
      <c r="A95" s="193" t="str">
        <f t="shared" ref="A95:A99" si="2">+$B$92&amp;B95</f>
        <v>Repayment61-90 Days Delinquent</v>
      </c>
      <c r="B95" s="199" t="s">
        <v>108</v>
      </c>
      <c r="C95" s="16"/>
      <c r="D95" s="16"/>
      <c r="E95" s="16"/>
      <c r="F95" s="112">
        <v>2590</v>
      </c>
      <c r="G95" s="112">
        <v>2771</v>
      </c>
      <c r="H95" s="83">
        <v>9816798.5700000003</v>
      </c>
      <c r="I95" s="83">
        <v>11388569.1</v>
      </c>
      <c r="J95" s="167">
        <v>2.1299999999999999E-2</v>
      </c>
      <c r="K95" s="167">
        <v>2.53E-2</v>
      </c>
      <c r="L95" s="197">
        <v>5.1100000000000003</v>
      </c>
      <c r="M95" s="197">
        <v>5.03</v>
      </c>
      <c r="N95" s="197">
        <v>116.51</v>
      </c>
      <c r="O95" s="198">
        <v>126.87</v>
      </c>
    </row>
    <row r="96" spans="1:15" x14ac:dyDescent="0.2">
      <c r="A96" s="193" t="str">
        <f t="shared" si="2"/>
        <v>Repayment91-120 Days Delinquent</v>
      </c>
      <c r="B96" s="199" t="s">
        <v>109</v>
      </c>
      <c r="C96" s="16"/>
      <c r="D96" s="16"/>
      <c r="E96" s="16"/>
      <c r="F96" s="112">
        <v>2135</v>
      </c>
      <c r="G96" s="112">
        <v>1796</v>
      </c>
      <c r="H96" s="83">
        <v>8762912.6999999993</v>
      </c>
      <c r="I96" s="83">
        <v>6877006.1299999999</v>
      </c>
      <c r="J96" s="167">
        <v>1.9099999999999999E-2</v>
      </c>
      <c r="K96" s="167">
        <v>1.5299999999999999E-2</v>
      </c>
      <c r="L96" s="197">
        <v>5.1100000000000003</v>
      </c>
      <c r="M96" s="197">
        <v>5.03</v>
      </c>
      <c r="N96" s="197">
        <v>130.97</v>
      </c>
      <c r="O96" s="198">
        <v>118.12</v>
      </c>
    </row>
    <row r="97" spans="1:25" x14ac:dyDescent="0.2">
      <c r="A97" s="193" t="str">
        <f t="shared" si="2"/>
        <v>Repayment121-180 Days Delinquent</v>
      </c>
      <c r="B97" s="199" t="s">
        <v>110</v>
      </c>
      <c r="C97" s="16"/>
      <c r="D97" s="16"/>
      <c r="E97" s="16"/>
      <c r="F97" s="112">
        <v>2237</v>
      </c>
      <c r="G97" s="112">
        <v>2565</v>
      </c>
      <c r="H97" s="83">
        <v>8862828.25</v>
      </c>
      <c r="I97" s="83">
        <v>10368759.949999999</v>
      </c>
      <c r="J97" s="167">
        <v>1.9300000000000001E-2</v>
      </c>
      <c r="K97" s="167">
        <v>2.3E-2</v>
      </c>
      <c r="L97" s="197">
        <v>5.33</v>
      </c>
      <c r="M97" s="197">
        <v>5.16</v>
      </c>
      <c r="N97" s="197">
        <v>125.23</v>
      </c>
      <c r="O97" s="198">
        <v>126.39</v>
      </c>
    </row>
    <row r="98" spans="1:25" x14ac:dyDescent="0.2">
      <c r="A98" s="193" t="str">
        <f t="shared" si="2"/>
        <v>Repayment181-270 Days Delinquent</v>
      </c>
      <c r="B98" s="199" t="s">
        <v>111</v>
      </c>
      <c r="C98" s="16"/>
      <c r="D98" s="16"/>
      <c r="E98" s="16"/>
      <c r="F98" s="112">
        <v>2502</v>
      </c>
      <c r="G98" s="112">
        <v>2252</v>
      </c>
      <c r="H98" s="83">
        <v>9236933.1400000006</v>
      </c>
      <c r="I98" s="83">
        <v>8110708.1100000003</v>
      </c>
      <c r="J98" s="167">
        <v>2.01E-2</v>
      </c>
      <c r="K98" s="167">
        <v>1.7999999999999999E-2</v>
      </c>
      <c r="L98" s="197">
        <v>4.95</v>
      </c>
      <c r="M98" s="197">
        <v>5.08</v>
      </c>
      <c r="N98" s="197">
        <v>116.7</v>
      </c>
      <c r="O98" s="198">
        <v>119.39</v>
      </c>
    </row>
    <row r="99" spans="1:25" x14ac:dyDescent="0.2">
      <c r="A99" s="193" t="str">
        <f t="shared" si="2"/>
        <v>Repayment271+ Days Delinquent</v>
      </c>
      <c r="B99" s="199" t="s">
        <v>112</v>
      </c>
      <c r="C99" s="16"/>
      <c r="D99" s="16"/>
      <c r="E99" s="16"/>
      <c r="F99" s="112">
        <v>1196</v>
      </c>
      <c r="G99" s="112">
        <v>1012</v>
      </c>
      <c r="H99" s="83">
        <v>4391320.3499999996</v>
      </c>
      <c r="I99" s="83">
        <v>3974055.05</v>
      </c>
      <c r="J99" s="167">
        <v>9.4999999999999998E-3</v>
      </c>
      <c r="K99" s="167">
        <v>8.8000000000000005E-3</v>
      </c>
      <c r="L99" s="197">
        <v>5.03</v>
      </c>
      <c r="M99" s="197">
        <v>5.05</v>
      </c>
      <c r="N99" s="197">
        <v>110.15</v>
      </c>
      <c r="O99" s="198">
        <v>116.04</v>
      </c>
    </row>
    <row r="100" spans="1:25" x14ac:dyDescent="0.2">
      <c r="A100" s="200" t="s">
        <v>113</v>
      </c>
      <c r="B100" s="201" t="s">
        <v>113</v>
      </c>
      <c r="C100" s="201"/>
      <c r="D100" s="201"/>
      <c r="E100" s="201"/>
      <c r="F100" s="202">
        <v>88134</v>
      </c>
      <c r="G100" s="202">
        <v>86646</v>
      </c>
      <c r="H100" s="203">
        <v>287071108.86000001</v>
      </c>
      <c r="I100" s="203">
        <v>281952543.94</v>
      </c>
      <c r="J100" s="204">
        <v>0.62429999999999997</v>
      </c>
      <c r="K100" s="204">
        <v>0.62529999999999997</v>
      </c>
      <c r="L100" s="205">
        <v>5.28</v>
      </c>
      <c r="M100" s="205">
        <v>5.27</v>
      </c>
      <c r="N100" s="205">
        <v>118.6</v>
      </c>
      <c r="O100" s="206">
        <v>118.37</v>
      </c>
    </row>
    <row r="101" spans="1:25" x14ac:dyDescent="0.2">
      <c r="A101" s="193" t="s">
        <v>52</v>
      </c>
      <c r="B101" s="16" t="s">
        <v>52</v>
      </c>
      <c r="C101" s="16"/>
      <c r="D101" s="16"/>
      <c r="E101" s="16"/>
      <c r="F101" s="112">
        <v>16565</v>
      </c>
      <c r="G101" s="112">
        <v>16219</v>
      </c>
      <c r="H101" s="83">
        <v>77077549.870000005</v>
      </c>
      <c r="I101" s="83">
        <v>75556547.480000004</v>
      </c>
      <c r="J101" s="167">
        <v>0.1676</v>
      </c>
      <c r="K101" s="167">
        <v>0.1676</v>
      </c>
      <c r="L101" s="197">
        <v>5.33</v>
      </c>
      <c r="M101" s="197">
        <v>5.36</v>
      </c>
      <c r="N101" s="197">
        <v>134.1</v>
      </c>
      <c r="O101" s="198">
        <v>134.38</v>
      </c>
    </row>
    <row r="102" spans="1:25" x14ac:dyDescent="0.2">
      <c r="A102" s="193" t="s">
        <v>51</v>
      </c>
      <c r="B102" s="16" t="s">
        <v>51</v>
      </c>
      <c r="C102" s="16"/>
      <c r="D102" s="16"/>
      <c r="E102" s="16"/>
      <c r="F102" s="112">
        <v>20727</v>
      </c>
      <c r="G102" s="112">
        <v>20708</v>
      </c>
      <c r="H102" s="83">
        <v>74919645.230000004</v>
      </c>
      <c r="I102" s="83">
        <v>74750454.329999998</v>
      </c>
      <c r="J102" s="167">
        <v>0.16289999999999999</v>
      </c>
      <c r="K102" s="167">
        <v>0.1658</v>
      </c>
      <c r="L102" s="197">
        <v>5.05</v>
      </c>
      <c r="M102" s="197">
        <v>5.07</v>
      </c>
      <c r="N102" s="197">
        <v>121.89</v>
      </c>
      <c r="O102" s="198">
        <v>122.21</v>
      </c>
    </row>
    <row r="103" spans="1:25" x14ac:dyDescent="0.2">
      <c r="A103" s="193" t="s">
        <v>56</v>
      </c>
      <c r="B103" s="16" t="s">
        <v>56</v>
      </c>
      <c r="C103" s="16"/>
      <c r="D103" s="16"/>
      <c r="E103" s="16"/>
      <c r="F103" s="112">
        <v>1236</v>
      </c>
      <c r="G103" s="112">
        <v>1109</v>
      </c>
      <c r="H103" s="83">
        <v>3165503.41</v>
      </c>
      <c r="I103" s="83">
        <v>3082544.37</v>
      </c>
      <c r="J103" s="167">
        <v>6.8999999999999999E-3</v>
      </c>
      <c r="K103" s="167">
        <v>6.7999999999999996E-3</v>
      </c>
      <c r="L103" s="197">
        <v>4.97</v>
      </c>
      <c r="M103" s="197">
        <v>5.04</v>
      </c>
      <c r="N103" s="197">
        <v>102.21</v>
      </c>
      <c r="O103" s="198">
        <v>103.99</v>
      </c>
      <c r="P103" s="207"/>
      <c r="Q103" s="207"/>
      <c r="R103" s="207"/>
      <c r="S103" s="207"/>
      <c r="T103" s="208"/>
      <c r="U103" s="208"/>
      <c r="V103" s="80"/>
      <c r="W103" s="80"/>
      <c r="X103" s="80"/>
      <c r="Y103" s="80"/>
    </row>
    <row r="104" spans="1:25" x14ac:dyDescent="0.2">
      <c r="A104" s="193" t="s">
        <v>58</v>
      </c>
      <c r="B104" s="16" t="s">
        <v>58</v>
      </c>
      <c r="C104" s="16"/>
      <c r="D104" s="16"/>
      <c r="E104" s="16"/>
      <c r="F104" s="112">
        <v>36</v>
      </c>
      <c r="G104" s="112">
        <v>29</v>
      </c>
      <c r="H104" s="83">
        <v>199367.49</v>
      </c>
      <c r="I104" s="83">
        <v>151935.91</v>
      </c>
      <c r="J104" s="167">
        <v>4.0000000000000002E-4</v>
      </c>
      <c r="K104" s="167">
        <v>2.9999999999999997E-4</v>
      </c>
      <c r="L104" s="197">
        <v>5.92</v>
      </c>
      <c r="M104" s="197">
        <v>5.4</v>
      </c>
      <c r="N104" s="197">
        <v>107.82</v>
      </c>
      <c r="O104" s="198">
        <v>110.86</v>
      </c>
    </row>
    <row r="105" spans="1:25" x14ac:dyDescent="0.2">
      <c r="A105" s="45"/>
      <c r="B105" s="53" t="s">
        <v>95</v>
      </c>
      <c r="C105" s="127"/>
      <c r="D105" s="127"/>
      <c r="E105" s="81"/>
      <c r="F105" s="209">
        <v>131358</v>
      </c>
      <c r="G105" s="209">
        <v>128811</v>
      </c>
      <c r="H105" s="174">
        <v>459833582.83999997</v>
      </c>
      <c r="I105" s="174">
        <v>450934987</v>
      </c>
      <c r="J105" s="210"/>
      <c r="K105" s="210"/>
      <c r="L105" s="211">
        <v>5.27</v>
      </c>
      <c r="M105" s="211">
        <v>5.28</v>
      </c>
      <c r="N105" s="211">
        <v>121.65</v>
      </c>
      <c r="O105" s="212">
        <v>121.65</v>
      </c>
    </row>
    <row r="106" spans="1:25" s="64" customFormat="1" ht="11.25" x14ac:dyDescent="0.2">
      <c r="A106" s="185"/>
      <c r="B106" s="61"/>
      <c r="C106" s="61"/>
      <c r="D106" s="61"/>
      <c r="E106" s="61"/>
      <c r="F106" s="61"/>
      <c r="G106" s="61"/>
      <c r="H106" s="61"/>
      <c r="I106" s="61"/>
      <c r="J106" s="213"/>
      <c r="K106" s="213"/>
      <c r="L106" s="61"/>
      <c r="M106" s="61"/>
      <c r="N106" s="61"/>
      <c r="O106" s="214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15"/>
      <c r="K107" s="215"/>
      <c r="L107" s="66"/>
      <c r="M107" s="66"/>
      <c r="N107" s="66"/>
      <c r="O107" s="216"/>
    </row>
    <row r="108" spans="1:25" ht="12.75" customHeight="1" thickBot="1" x14ac:dyDescent="0.25">
      <c r="A108" s="6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 x14ac:dyDescent="0.25">
      <c r="A109" s="20" t="s">
        <v>114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75" customFormat="1" x14ac:dyDescent="0.2">
      <c r="A111" s="69"/>
      <c r="B111" s="70"/>
      <c r="C111" s="70"/>
      <c r="D111" s="70"/>
      <c r="E111" s="188"/>
      <c r="F111" s="355" t="s">
        <v>86</v>
      </c>
      <c r="G111" s="355"/>
      <c r="H111" s="189" t="s">
        <v>100</v>
      </c>
      <c r="I111" s="190"/>
      <c r="J111" s="355" t="s">
        <v>101</v>
      </c>
      <c r="K111" s="355"/>
      <c r="L111" s="355" t="s">
        <v>102</v>
      </c>
      <c r="M111" s="355"/>
      <c r="N111" s="355" t="s">
        <v>103</v>
      </c>
      <c r="O111" s="358"/>
    </row>
    <row r="112" spans="1:25" s="75" customFormat="1" x14ac:dyDescent="0.2">
      <c r="A112" s="69"/>
      <c r="B112" s="70"/>
      <c r="C112" s="70"/>
      <c r="D112" s="70"/>
      <c r="E112" s="188"/>
      <c r="F112" s="27" t="s">
        <v>104</v>
      </c>
      <c r="G112" s="27" t="s">
        <v>105</v>
      </c>
      <c r="H112" s="191" t="s">
        <v>104</v>
      </c>
      <c r="I112" s="192" t="s">
        <v>105</v>
      </c>
      <c r="J112" s="27" t="s">
        <v>104</v>
      </c>
      <c r="K112" s="27" t="s">
        <v>105</v>
      </c>
      <c r="L112" s="27" t="s">
        <v>104</v>
      </c>
      <c r="M112" s="27" t="s">
        <v>105</v>
      </c>
      <c r="N112" s="27" t="s">
        <v>104</v>
      </c>
      <c r="O112" s="29" t="s">
        <v>105</v>
      </c>
    </row>
    <row r="113" spans="1:15" x14ac:dyDescent="0.2">
      <c r="A113" s="24"/>
      <c r="B113" s="16" t="s">
        <v>115</v>
      </c>
      <c r="C113" s="16"/>
      <c r="D113" s="16"/>
      <c r="E113" s="16"/>
      <c r="F113" s="112">
        <v>72965</v>
      </c>
      <c r="G113" s="112">
        <v>71801</v>
      </c>
      <c r="H113" s="83">
        <v>228213946.56999999</v>
      </c>
      <c r="I113" s="78">
        <v>225138621.52000001</v>
      </c>
      <c r="J113" s="167">
        <v>0.79500000000000004</v>
      </c>
      <c r="K113" s="167">
        <v>0.79849999999999999</v>
      </c>
      <c r="L113" s="83">
        <v>5.31</v>
      </c>
      <c r="M113" s="83">
        <v>5.32</v>
      </c>
      <c r="N113" s="83">
        <v>117.39</v>
      </c>
      <c r="O113" s="79">
        <v>117.63</v>
      </c>
    </row>
    <row r="114" spans="1:15" x14ac:dyDescent="0.2">
      <c r="A114" s="24"/>
      <c r="B114" s="16" t="s">
        <v>116</v>
      </c>
      <c r="C114" s="16"/>
      <c r="D114" s="16"/>
      <c r="E114" s="16"/>
      <c r="F114" s="112">
        <v>4509</v>
      </c>
      <c r="G114" s="112">
        <v>4449</v>
      </c>
      <c r="H114" s="83">
        <v>17786369.280000001</v>
      </c>
      <c r="I114" s="84">
        <v>16094824.08</v>
      </c>
      <c r="J114" s="167">
        <v>6.2E-2</v>
      </c>
      <c r="K114" s="167">
        <v>5.7099999999999998E-2</v>
      </c>
      <c r="L114" s="83">
        <v>5.15</v>
      </c>
      <c r="M114" s="83">
        <v>5.1100000000000003</v>
      </c>
      <c r="N114" s="83">
        <v>129.01</v>
      </c>
      <c r="O114" s="85">
        <v>117.68</v>
      </c>
    </row>
    <row r="115" spans="1:15" x14ac:dyDescent="0.2">
      <c r="A115" s="24"/>
      <c r="B115" s="16" t="s">
        <v>117</v>
      </c>
      <c r="C115" s="16"/>
      <c r="D115" s="16"/>
      <c r="E115" s="16"/>
      <c r="F115" s="112">
        <v>2590</v>
      </c>
      <c r="G115" s="112">
        <v>2771</v>
      </c>
      <c r="H115" s="83">
        <v>9816798.5700000003</v>
      </c>
      <c r="I115" s="84">
        <v>11388569.1</v>
      </c>
      <c r="J115" s="167">
        <v>3.4200000000000001E-2</v>
      </c>
      <c r="K115" s="167">
        <v>4.0399999999999998E-2</v>
      </c>
      <c r="L115" s="83">
        <v>5.1100000000000003</v>
      </c>
      <c r="M115" s="83">
        <v>5.03</v>
      </c>
      <c r="N115" s="83">
        <v>116.51</v>
      </c>
      <c r="O115" s="85">
        <v>126.87</v>
      </c>
    </row>
    <row r="116" spans="1:15" x14ac:dyDescent="0.2">
      <c r="A116" s="24"/>
      <c r="B116" s="16" t="s">
        <v>118</v>
      </c>
      <c r="C116" s="16"/>
      <c r="D116" s="16"/>
      <c r="E116" s="16"/>
      <c r="F116" s="112">
        <v>2135</v>
      </c>
      <c r="G116" s="112">
        <v>1796</v>
      </c>
      <c r="H116" s="83">
        <v>8762912.6999999993</v>
      </c>
      <c r="I116" s="84">
        <v>6877006.1299999999</v>
      </c>
      <c r="J116" s="167">
        <v>3.0499999999999999E-2</v>
      </c>
      <c r="K116" s="167">
        <v>2.4400000000000002E-2</v>
      </c>
      <c r="L116" s="83">
        <v>5.1100000000000003</v>
      </c>
      <c r="M116" s="83">
        <v>5.03</v>
      </c>
      <c r="N116" s="83">
        <v>130.97</v>
      </c>
      <c r="O116" s="85">
        <v>118.12</v>
      </c>
    </row>
    <row r="117" spans="1:15" x14ac:dyDescent="0.2">
      <c r="A117" s="24"/>
      <c r="B117" s="16" t="s">
        <v>119</v>
      </c>
      <c r="C117" s="16"/>
      <c r="D117" s="16"/>
      <c r="E117" s="16"/>
      <c r="F117" s="112">
        <v>2237</v>
      </c>
      <c r="G117" s="112">
        <v>2565</v>
      </c>
      <c r="H117" s="83">
        <v>8862828.25</v>
      </c>
      <c r="I117" s="84">
        <v>10368759.949999999</v>
      </c>
      <c r="J117" s="167">
        <v>3.09E-2</v>
      </c>
      <c r="K117" s="167">
        <v>3.6799999999999999E-2</v>
      </c>
      <c r="L117" s="83">
        <v>5.33</v>
      </c>
      <c r="M117" s="83">
        <v>5.16</v>
      </c>
      <c r="N117" s="83">
        <v>125.23</v>
      </c>
      <c r="O117" s="85">
        <v>126.39</v>
      </c>
    </row>
    <row r="118" spans="1:15" x14ac:dyDescent="0.2">
      <c r="A118" s="24"/>
      <c r="B118" s="16" t="s">
        <v>120</v>
      </c>
      <c r="C118" s="16"/>
      <c r="D118" s="16"/>
      <c r="E118" s="16"/>
      <c r="F118" s="112">
        <v>2502</v>
      </c>
      <c r="G118" s="112">
        <v>2252</v>
      </c>
      <c r="H118" s="83">
        <v>9236933.1400000006</v>
      </c>
      <c r="I118" s="84">
        <v>8110708.1100000003</v>
      </c>
      <c r="J118" s="167">
        <v>3.2199999999999999E-2</v>
      </c>
      <c r="K118" s="167">
        <v>2.8799999999999999E-2</v>
      </c>
      <c r="L118" s="83">
        <v>4.95</v>
      </c>
      <c r="M118" s="217">
        <v>5.08</v>
      </c>
      <c r="N118" s="83">
        <v>116.7</v>
      </c>
      <c r="O118" s="85">
        <v>119.39</v>
      </c>
    </row>
    <row r="119" spans="1:15" x14ac:dyDescent="0.2">
      <c r="A119" s="24"/>
      <c r="B119" s="16" t="s">
        <v>121</v>
      </c>
      <c r="C119" s="16"/>
      <c r="D119" s="16"/>
      <c r="E119" s="16"/>
      <c r="F119" s="112">
        <v>1196</v>
      </c>
      <c r="G119" s="112">
        <v>1012</v>
      </c>
      <c r="H119" s="83">
        <v>4391320.3499999996</v>
      </c>
      <c r="I119" s="84">
        <v>3974055.05</v>
      </c>
      <c r="J119" s="167">
        <v>1.5299999999999999E-2</v>
      </c>
      <c r="K119" s="167">
        <v>1.41E-2</v>
      </c>
      <c r="L119" s="83">
        <v>5.03</v>
      </c>
      <c r="M119" s="83">
        <v>5.05</v>
      </c>
      <c r="N119" s="83">
        <v>110.15</v>
      </c>
      <c r="O119" s="85">
        <v>116.04</v>
      </c>
    </row>
    <row r="120" spans="1:15" x14ac:dyDescent="0.2">
      <c r="A120" s="45"/>
      <c r="B120" s="53" t="s">
        <v>122</v>
      </c>
      <c r="C120" s="127"/>
      <c r="D120" s="127"/>
      <c r="E120" s="81"/>
      <c r="F120" s="218">
        <v>88134</v>
      </c>
      <c r="G120" s="218">
        <v>86646</v>
      </c>
      <c r="H120" s="174">
        <v>287071108.86000001</v>
      </c>
      <c r="I120" s="174">
        <v>281952543.94</v>
      </c>
      <c r="J120" s="210"/>
      <c r="K120" s="210"/>
      <c r="L120" s="174">
        <v>5.28</v>
      </c>
      <c r="M120" s="219">
        <v>5.27</v>
      </c>
      <c r="N120" s="174">
        <v>118.6</v>
      </c>
      <c r="O120" s="177">
        <v>118.37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220"/>
      <c r="K121" s="220"/>
      <c r="L121" s="62"/>
      <c r="M121" s="62"/>
      <c r="N121" s="62"/>
      <c r="O121" s="221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15"/>
      <c r="K122" s="215"/>
      <c r="L122" s="66"/>
      <c r="M122" s="66"/>
      <c r="N122" s="66"/>
      <c r="O122" s="216"/>
    </row>
    <row r="123" spans="1:15" ht="12.75" customHeight="1" thickBot="1" x14ac:dyDescent="0.25">
      <c r="A123" s="6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 x14ac:dyDescent="0.25">
      <c r="A124" s="20" t="s">
        <v>123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 x14ac:dyDescent="0.2">
      <c r="A126" s="26"/>
      <c r="B126" s="165"/>
      <c r="C126" s="165"/>
      <c r="D126" s="165"/>
      <c r="E126" s="165"/>
      <c r="F126" s="353" t="s">
        <v>86</v>
      </c>
      <c r="G126" s="354"/>
      <c r="H126" s="189" t="s">
        <v>100</v>
      </c>
      <c r="I126" s="190"/>
      <c r="J126" s="353" t="s">
        <v>101</v>
      </c>
      <c r="K126" s="354"/>
      <c r="L126" s="353" t="s">
        <v>102</v>
      </c>
      <c r="M126" s="354"/>
      <c r="N126" s="353" t="s">
        <v>103</v>
      </c>
      <c r="O126" s="357"/>
    </row>
    <row r="127" spans="1:15" x14ac:dyDescent="0.2">
      <c r="A127" s="26"/>
      <c r="B127" s="165"/>
      <c r="C127" s="165"/>
      <c r="D127" s="165"/>
      <c r="E127" s="165"/>
      <c r="F127" s="27" t="s">
        <v>104</v>
      </c>
      <c r="G127" s="27" t="s">
        <v>105</v>
      </c>
      <c r="H127" s="27" t="s">
        <v>104</v>
      </c>
      <c r="I127" s="222" t="s">
        <v>105</v>
      </c>
      <c r="J127" s="27" t="s">
        <v>104</v>
      </c>
      <c r="K127" s="27" t="s">
        <v>105</v>
      </c>
      <c r="L127" s="27" t="s">
        <v>104</v>
      </c>
      <c r="M127" s="27" t="s">
        <v>105</v>
      </c>
      <c r="N127" s="27" t="s">
        <v>104</v>
      </c>
      <c r="O127" s="29" t="s">
        <v>105</v>
      </c>
    </row>
    <row r="128" spans="1:15" x14ac:dyDescent="0.2">
      <c r="A128" s="24"/>
      <c r="B128" s="16" t="s">
        <v>124</v>
      </c>
      <c r="C128" s="16"/>
      <c r="D128" s="16"/>
      <c r="E128" s="16"/>
      <c r="F128" s="112">
        <v>967</v>
      </c>
      <c r="G128" s="112">
        <v>940</v>
      </c>
      <c r="H128" s="197">
        <v>16216291.52</v>
      </c>
      <c r="I128" s="197">
        <v>15939226.029999999</v>
      </c>
      <c r="J128" s="167">
        <v>3.5299999999999998E-2</v>
      </c>
      <c r="K128" s="167">
        <v>3.5299999999999998E-2</v>
      </c>
      <c r="L128" s="197">
        <v>4.6100000000000003</v>
      </c>
      <c r="M128" s="197">
        <v>4.63</v>
      </c>
      <c r="N128" s="197">
        <v>232.94</v>
      </c>
      <c r="O128" s="197">
        <v>232.74</v>
      </c>
    </row>
    <row r="129" spans="1:17" x14ac:dyDescent="0.2">
      <c r="A129" s="24"/>
      <c r="B129" s="16" t="s">
        <v>125</v>
      </c>
      <c r="C129" s="16"/>
      <c r="D129" s="16"/>
      <c r="E129" s="16"/>
      <c r="F129" s="112">
        <v>1098</v>
      </c>
      <c r="G129" s="112">
        <v>1068</v>
      </c>
      <c r="H129" s="197">
        <v>22087908.68</v>
      </c>
      <c r="I129" s="197">
        <v>21794168.170000002</v>
      </c>
      <c r="J129" s="167">
        <v>4.8000000000000001E-2</v>
      </c>
      <c r="K129" s="167">
        <v>4.8300000000000003E-2</v>
      </c>
      <c r="L129" s="197">
        <v>4.9400000000000004</v>
      </c>
      <c r="M129" s="197">
        <v>4.95</v>
      </c>
      <c r="N129" s="197">
        <v>238.4</v>
      </c>
      <c r="O129" s="198">
        <v>238.09</v>
      </c>
    </row>
    <row r="130" spans="1:17" x14ac:dyDescent="0.2">
      <c r="A130" s="24"/>
      <c r="B130" s="16" t="s">
        <v>126</v>
      </c>
      <c r="C130" s="16"/>
      <c r="D130" s="16"/>
      <c r="E130" s="16"/>
      <c r="F130" s="112">
        <v>69800</v>
      </c>
      <c r="G130" s="112">
        <v>68484</v>
      </c>
      <c r="H130" s="197">
        <v>181164168.77000001</v>
      </c>
      <c r="I130" s="197">
        <v>177482583.58000001</v>
      </c>
      <c r="J130" s="167">
        <v>0.39400000000000002</v>
      </c>
      <c r="K130" s="167">
        <v>0.39360000000000001</v>
      </c>
      <c r="L130" s="197">
        <v>4.93</v>
      </c>
      <c r="M130" s="197">
        <v>4.93</v>
      </c>
      <c r="N130" s="197">
        <v>107.2</v>
      </c>
      <c r="O130" s="198">
        <v>107.05</v>
      </c>
    </row>
    <row r="131" spans="1:17" x14ac:dyDescent="0.2">
      <c r="A131" s="24"/>
      <c r="B131" s="16" t="s">
        <v>127</v>
      </c>
      <c r="C131" s="16"/>
      <c r="D131" s="16"/>
      <c r="E131" s="16"/>
      <c r="F131" s="112">
        <v>51999</v>
      </c>
      <c r="G131" s="112">
        <v>51022</v>
      </c>
      <c r="H131" s="197">
        <v>195974495.31</v>
      </c>
      <c r="I131" s="197">
        <v>192295194.74000001</v>
      </c>
      <c r="J131" s="167">
        <v>0.42620000000000002</v>
      </c>
      <c r="K131" s="167">
        <v>0.4264</v>
      </c>
      <c r="L131" s="197">
        <v>5.17</v>
      </c>
      <c r="M131" s="197">
        <v>5.18</v>
      </c>
      <c r="N131" s="197">
        <v>115.85</v>
      </c>
      <c r="O131" s="198">
        <v>115.84</v>
      </c>
    </row>
    <row r="132" spans="1:17" x14ac:dyDescent="0.2">
      <c r="A132" s="24"/>
      <c r="B132" s="16" t="s">
        <v>128</v>
      </c>
      <c r="C132" s="16"/>
      <c r="D132" s="16"/>
      <c r="E132" s="16"/>
      <c r="F132" s="112">
        <v>7431</v>
      </c>
      <c r="G132" s="112">
        <v>7234</v>
      </c>
      <c r="H132" s="197">
        <v>44124935.039999999</v>
      </c>
      <c r="I132" s="197">
        <v>43158166.539999999</v>
      </c>
      <c r="J132" s="167">
        <v>9.6000000000000002E-2</v>
      </c>
      <c r="K132" s="167">
        <v>9.5699999999999993E-2</v>
      </c>
      <c r="L132" s="197">
        <v>7.54</v>
      </c>
      <c r="M132" s="197">
        <v>7.55</v>
      </c>
      <c r="N132" s="197">
        <v>107.54</v>
      </c>
      <c r="O132" s="198">
        <v>107.86</v>
      </c>
    </row>
    <row r="133" spans="1:17" x14ac:dyDescent="0.2">
      <c r="A133" s="24"/>
      <c r="B133" s="16" t="s">
        <v>129</v>
      </c>
      <c r="C133" s="16"/>
      <c r="D133" s="16"/>
      <c r="E133" s="16"/>
      <c r="F133" s="112">
        <v>63</v>
      </c>
      <c r="G133" s="112">
        <v>63</v>
      </c>
      <c r="H133" s="197">
        <v>265783.52</v>
      </c>
      <c r="I133" s="197">
        <v>265647.94</v>
      </c>
      <c r="J133" s="167">
        <v>5.9999999999999995E-4</v>
      </c>
      <c r="K133" s="167">
        <v>5.9999999999999995E-4</v>
      </c>
      <c r="L133" s="197">
        <v>3.27</v>
      </c>
      <c r="M133" s="197">
        <v>3.27</v>
      </c>
      <c r="N133" s="197">
        <v>100.02</v>
      </c>
      <c r="O133" s="198">
        <v>99.62</v>
      </c>
    </row>
    <row r="134" spans="1:17" x14ac:dyDescent="0.2">
      <c r="A134" s="45"/>
      <c r="B134" s="53" t="s">
        <v>130</v>
      </c>
      <c r="C134" s="127"/>
      <c r="D134" s="127"/>
      <c r="E134" s="127"/>
      <c r="F134" s="218">
        <v>131358</v>
      </c>
      <c r="G134" s="218">
        <v>128811</v>
      </c>
      <c r="H134" s="174">
        <v>459833582.83999997</v>
      </c>
      <c r="I134" s="174">
        <v>450934987</v>
      </c>
      <c r="J134" s="210"/>
      <c r="K134" s="210"/>
      <c r="L134" s="174">
        <v>5.27</v>
      </c>
      <c r="M134" s="219">
        <v>5.28</v>
      </c>
      <c r="N134" s="174">
        <v>121.65</v>
      </c>
      <c r="O134" s="177">
        <v>121.65</v>
      </c>
    </row>
    <row r="135" spans="1:17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61"/>
      <c r="M135" s="61"/>
      <c r="N135" s="213"/>
      <c r="O135" s="148"/>
    </row>
    <row r="136" spans="1:17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8"/>
    </row>
    <row r="137" spans="1:17" ht="13.5" thickBot="1" x14ac:dyDescent="0.25">
      <c r="D137" s="223"/>
      <c r="E137" s="223"/>
      <c r="F137" s="223"/>
    </row>
    <row r="138" spans="1:17" ht="15.75" x14ac:dyDescent="0.25">
      <c r="A138" s="20" t="s">
        <v>131</v>
      </c>
      <c r="B138" s="22"/>
      <c r="C138" s="22"/>
      <c r="D138" s="224"/>
      <c r="E138" s="16"/>
      <c r="F138" s="224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 x14ac:dyDescent="0.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 x14ac:dyDescent="0.2">
      <c r="A140" s="26"/>
      <c r="B140" s="165"/>
      <c r="C140" s="165"/>
      <c r="D140" s="165"/>
      <c r="E140" s="165"/>
      <c r="F140" s="353" t="s">
        <v>86</v>
      </c>
      <c r="G140" s="354"/>
      <c r="H140" s="189" t="s">
        <v>100</v>
      </c>
      <c r="I140" s="190"/>
      <c r="J140" s="353" t="s">
        <v>132</v>
      </c>
      <c r="K140" s="354"/>
      <c r="L140" s="353" t="s">
        <v>102</v>
      </c>
      <c r="M140" s="354"/>
      <c r="N140" s="353" t="s">
        <v>103</v>
      </c>
      <c r="O140" s="357"/>
    </row>
    <row r="141" spans="1:17" x14ac:dyDescent="0.2">
      <c r="A141" s="26"/>
      <c r="B141" s="165"/>
      <c r="C141" s="165"/>
      <c r="D141" s="165"/>
      <c r="E141" s="165"/>
      <c r="F141" s="27" t="s">
        <v>104</v>
      </c>
      <c r="G141" s="27" t="s">
        <v>105</v>
      </c>
      <c r="H141" s="27" t="s">
        <v>104</v>
      </c>
      <c r="I141" s="222" t="s">
        <v>105</v>
      </c>
      <c r="J141" s="27" t="s">
        <v>104</v>
      </c>
      <c r="K141" s="27" t="s">
        <v>105</v>
      </c>
      <c r="L141" s="27" t="s">
        <v>104</v>
      </c>
      <c r="M141" s="27" t="s">
        <v>105</v>
      </c>
      <c r="N141" s="27" t="s">
        <v>104</v>
      </c>
      <c r="O141" s="29" t="s">
        <v>105</v>
      </c>
    </row>
    <row r="142" spans="1:17" x14ac:dyDescent="0.2">
      <c r="A142" s="24"/>
      <c r="B142" s="16" t="s">
        <v>133</v>
      </c>
      <c r="C142" s="16"/>
      <c r="D142" s="16"/>
      <c r="E142" s="16"/>
      <c r="F142" s="112">
        <v>91528</v>
      </c>
      <c r="G142" s="112">
        <v>89835</v>
      </c>
      <c r="H142" s="197">
        <v>344698217.5</v>
      </c>
      <c r="I142" s="197">
        <v>337950646.14999998</v>
      </c>
      <c r="J142" s="167">
        <v>0.74960000000000004</v>
      </c>
      <c r="K142" s="167">
        <v>0.74939999999999996</v>
      </c>
      <c r="L142" s="197">
        <v>5.36</v>
      </c>
      <c r="M142" s="197">
        <v>5.36</v>
      </c>
      <c r="N142" s="83">
        <v>121.28</v>
      </c>
      <c r="O142" s="79">
        <v>121.27</v>
      </c>
    </row>
    <row r="143" spans="1:17" ht="14.25" x14ac:dyDescent="0.2">
      <c r="A143" s="24"/>
      <c r="B143" s="16" t="s">
        <v>134</v>
      </c>
      <c r="C143" s="16"/>
      <c r="D143" s="16"/>
      <c r="E143" s="16"/>
      <c r="F143" s="112">
        <v>27540</v>
      </c>
      <c r="G143" s="112">
        <v>26984</v>
      </c>
      <c r="H143" s="197">
        <v>69985453</v>
      </c>
      <c r="I143" s="197">
        <v>68798638.590000004</v>
      </c>
      <c r="J143" s="167">
        <v>0.1522</v>
      </c>
      <c r="K143" s="167">
        <v>0.15260000000000001</v>
      </c>
      <c r="L143" s="197">
        <v>5.16</v>
      </c>
      <c r="M143" s="197">
        <v>5.16</v>
      </c>
      <c r="N143" s="83">
        <v>107.32</v>
      </c>
      <c r="O143" s="85">
        <v>107.19</v>
      </c>
      <c r="Q143" s="224"/>
    </row>
    <row r="144" spans="1:17" ht="14.25" x14ac:dyDescent="0.2">
      <c r="A144" s="24"/>
      <c r="B144" s="16" t="s">
        <v>135</v>
      </c>
      <c r="C144" s="16"/>
      <c r="D144" s="16"/>
      <c r="E144" s="16"/>
      <c r="F144" s="112">
        <v>11605</v>
      </c>
      <c r="G144" s="112">
        <v>11334</v>
      </c>
      <c r="H144" s="197">
        <v>32550353.120000001</v>
      </c>
      <c r="I144" s="197">
        <v>31744703.91</v>
      </c>
      <c r="J144" s="167">
        <v>7.0800000000000002E-2</v>
      </c>
      <c r="K144" s="167">
        <v>7.0400000000000004E-2</v>
      </c>
      <c r="L144" s="197">
        <v>4.51</v>
      </c>
      <c r="M144" s="197">
        <v>4.49</v>
      </c>
      <c r="N144" s="83">
        <v>113.37</v>
      </c>
      <c r="O144" s="85">
        <v>113.23</v>
      </c>
      <c r="Q144" s="224" t="s">
        <v>136</v>
      </c>
    </row>
    <row r="145" spans="1:15" x14ac:dyDescent="0.2">
      <c r="A145" s="24"/>
      <c r="B145" s="16" t="s">
        <v>137</v>
      </c>
      <c r="C145" s="16"/>
      <c r="D145" s="16"/>
      <c r="E145" s="16"/>
      <c r="F145" s="112">
        <v>552</v>
      </c>
      <c r="G145" s="112">
        <v>527</v>
      </c>
      <c r="H145" s="197">
        <v>12271829.08</v>
      </c>
      <c r="I145" s="197">
        <v>12113913.060000001</v>
      </c>
      <c r="J145" s="167">
        <v>2.6700000000000002E-2</v>
      </c>
      <c r="K145" s="167">
        <v>2.69E-2</v>
      </c>
      <c r="L145" s="197">
        <v>5.65</v>
      </c>
      <c r="M145" s="197">
        <v>5.66</v>
      </c>
      <c r="N145" s="83">
        <v>235.3</v>
      </c>
      <c r="O145" s="85">
        <v>235.96</v>
      </c>
    </row>
    <row r="146" spans="1:15" x14ac:dyDescent="0.2">
      <c r="A146" s="24"/>
      <c r="B146" s="16" t="s">
        <v>138</v>
      </c>
      <c r="C146" s="16"/>
      <c r="D146" s="16"/>
      <c r="E146" s="16"/>
      <c r="F146" s="112">
        <v>133</v>
      </c>
      <c r="G146" s="112">
        <v>131</v>
      </c>
      <c r="H146" s="197">
        <v>327730.14</v>
      </c>
      <c r="I146" s="197">
        <v>327085.28999999998</v>
      </c>
      <c r="J146" s="167">
        <v>6.9999999999999999E-4</v>
      </c>
      <c r="K146" s="167">
        <v>6.9999999999999999E-4</v>
      </c>
      <c r="L146" s="197">
        <v>3.79</v>
      </c>
      <c r="M146" s="197">
        <v>3.8</v>
      </c>
      <c r="N146" s="83">
        <v>139.54</v>
      </c>
      <c r="O146" s="85">
        <v>139.80000000000001</v>
      </c>
    </row>
    <row r="147" spans="1:15" x14ac:dyDescent="0.2">
      <c r="A147" s="45"/>
      <c r="B147" s="53" t="s">
        <v>95</v>
      </c>
      <c r="C147" s="127"/>
      <c r="D147" s="127"/>
      <c r="E147" s="127"/>
      <c r="F147" s="218">
        <v>131358</v>
      </c>
      <c r="G147" s="218">
        <v>128811</v>
      </c>
      <c r="H147" s="174">
        <v>459833582.83999997</v>
      </c>
      <c r="I147" s="174">
        <v>450934987</v>
      </c>
      <c r="J147" s="210"/>
      <c r="K147" s="210"/>
      <c r="L147" s="174">
        <v>5.27</v>
      </c>
      <c r="M147" s="174">
        <v>5.28</v>
      </c>
      <c r="N147" s="174">
        <v>121.65</v>
      </c>
      <c r="O147" s="177">
        <v>121.65</v>
      </c>
    </row>
    <row r="148" spans="1:15" s="64" customFormat="1" ht="11.25" x14ac:dyDescent="0.2">
      <c r="A148" s="185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213"/>
      <c r="O148" s="63"/>
    </row>
    <row r="149" spans="1:15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5" ht="13.5" thickBot="1" x14ac:dyDescent="0.25"/>
    <row r="151" spans="1:15" ht="15.75" x14ac:dyDescent="0.25">
      <c r="A151" s="20" t="s">
        <v>139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 x14ac:dyDescent="0.2">
      <c r="A153" s="26"/>
      <c r="B153" s="165"/>
      <c r="C153" s="165"/>
      <c r="D153" s="165"/>
      <c r="E153" s="107"/>
      <c r="F153" s="353" t="s">
        <v>86</v>
      </c>
      <c r="G153" s="354"/>
      <c r="H153" s="189" t="s">
        <v>140</v>
      </c>
      <c r="I153" s="190"/>
      <c r="J153" s="355" t="s">
        <v>141</v>
      </c>
      <c r="K153" s="355"/>
      <c r="L153" s="29" t="s">
        <v>21</v>
      </c>
    </row>
    <row r="154" spans="1:15" x14ac:dyDescent="0.2">
      <c r="A154" s="26"/>
      <c r="B154" s="165"/>
      <c r="C154" s="165"/>
      <c r="D154" s="165"/>
      <c r="E154" s="107"/>
      <c r="F154" s="222" t="s">
        <v>104</v>
      </c>
      <c r="G154" s="222" t="s">
        <v>105</v>
      </c>
      <c r="H154" s="27" t="s">
        <v>104</v>
      </c>
      <c r="I154" s="27" t="s">
        <v>105</v>
      </c>
      <c r="J154" s="27" t="s">
        <v>104</v>
      </c>
      <c r="K154" s="27" t="s">
        <v>105</v>
      </c>
      <c r="L154" s="225"/>
    </row>
    <row r="155" spans="1:15" x14ac:dyDescent="0.2">
      <c r="A155" s="72"/>
      <c r="B155" s="76" t="s">
        <v>142</v>
      </c>
      <c r="C155" s="76"/>
      <c r="D155" s="76"/>
      <c r="E155" s="76"/>
      <c r="F155" s="112">
        <v>3515</v>
      </c>
      <c r="G155" s="112">
        <v>3409</v>
      </c>
      <c r="H155" s="197">
        <v>11492599.24</v>
      </c>
      <c r="I155" s="83">
        <v>11269868.82</v>
      </c>
      <c r="J155" s="167">
        <v>2.5000000000000001E-2</v>
      </c>
      <c r="K155" s="226">
        <v>2.5000000000000001E-2</v>
      </c>
      <c r="L155" s="227">
        <v>3.0253999999999999</v>
      </c>
    </row>
    <row r="156" spans="1:15" x14ac:dyDescent="0.2">
      <c r="A156" s="24"/>
      <c r="B156" s="16" t="s">
        <v>143</v>
      </c>
      <c r="C156" s="16"/>
      <c r="D156" s="16"/>
      <c r="E156" s="16"/>
      <c r="F156" s="112">
        <v>127843</v>
      </c>
      <c r="G156" s="112">
        <v>125402</v>
      </c>
      <c r="H156" s="197">
        <v>448340983.60000002</v>
      </c>
      <c r="I156" s="83">
        <v>439665118.18000001</v>
      </c>
      <c r="J156" s="167">
        <v>0.97499999999999998</v>
      </c>
      <c r="K156" s="226">
        <v>0.97499999999999998</v>
      </c>
      <c r="L156" s="228">
        <v>2.2345999999999999</v>
      </c>
    </row>
    <row r="157" spans="1:15" x14ac:dyDescent="0.2">
      <c r="A157" s="24"/>
      <c r="B157" s="16" t="s">
        <v>144</v>
      </c>
      <c r="C157" s="16"/>
      <c r="D157" s="16"/>
      <c r="E157" s="16"/>
      <c r="F157" s="112" t="s">
        <v>145</v>
      </c>
      <c r="G157" s="112" t="s">
        <v>146</v>
      </c>
      <c r="H157" s="197" t="s">
        <v>147</v>
      </c>
      <c r="I157" s="197" t="s">
        <v>148</v>
      </c>
      <c r="J157" s="167">
        <v>0</v>
      </c>
      <c r="K157" s="226">
        <v>0</v>
      </c>
      <c r="L157" s="228" t="s">
        <v>149</v>
      </c>
    </row>
    <row r="158" spans="1:15" ht="13.5" thickBot="1" x14ac:dyDescent="0.25">
      <c r="A158" s="149"/>
      <c r="B158" s="229" t="s">
        <v>49</v>
      </c>
      <c r="C158" s="67"/>
      <c r="D158" s="67"/>
      <c r="E158" s="67"/>
      <c r="F158" s="218">
        <v>131358</v>
      </c>
      <c r="G158" s="218">
        <v>128811</v>
      </c>
      <c r="H158" s="174">
        <v>459833582.83999997</v>
      </c>
      <c r="I158" s="174">
        <v>450934987</v>
      </c>
      <c r="J158" s="210"/>
      <c r="K158" s="230"/>
      <c r="L158" s="231">
        <v>2.2544</v>
      </c>
    </row>
    <row r="159" spans="1:15" s="233" customFormat="1" ht="11.25" x14ac:dyDescent="0.2">
      <c r="A159" s="62"/>
      <c r="B159" s="232"/>
      <c r="C159" s="232"/>
      <c r="D159" s="232"/>
      <c r="E159" s="232"/>
      <c r="F159" s="232"/>
      <c r="G159" s="232"/>
      <c r="H159" s="232"/>
      <c r="I159" s="232"/>
      <c r="J159" s="232"/>
    </row>
    <row r="160" spans="1:15" s="233" customFormat="1" ht="11.25" x14ac:dyDescent="0.2">
      <c r="A160" s="62"/>
      <c r="B160" s="232"/>
      <c r="C160" s="232"/>
      <c r="D160" s="232"/>
      <c r="E160" s="232"/>
      <c r="F160" s="232"/>
      <c r="G160" s="232"/>
      <c r="H160" s="232"/>
      <c r="I160" s="232"/>
      <c r="J160" s="232"/>
    </row>
    <row r="161" spans="1:7" ht="13.5" thickBot="1" x14ac:dyDescent="0.25"/>
    <row r="162" spans="1:7" s="16" customFormat="1" ht="15.75" x14ac:dyDescent="0.25">
      <c r="A162" s="20" t="s">
        <v>150</v>
      </c>
      <c r="B162" s="234"/>
      <c r="C162" s="235"/>
      <c r="D162" s="236"/>
      <c r="E162" s="236"/>
      <c r="F162" s="156" t="s">
        <v>151</v>
      </c>
    </row>
    <row r="163" spans="1:7" s="16" customFormat="1" ht="13.5" thickBot="1" x14ac:dyDescent="0.25">
      <c r="A163" s="149" t="s">
        <v>152</v>
      </c>
      <c r="B163" s="149"/>
      <c r="C163" s="237"/>
      <c r="D163" s="237"/>
      <c r="E163" s="237"/>
      <c r="F163" s="238">
        <v>568021582.14999998</v>
      </c>
    </row>
    <row r="164" spans="1:7" s="16" customFormat="1" x14ac:dyDescent="0.2">
      <c r="C164" s="239"/>
      <c r="D164" s="239"/>
      <c r="E164" s="239"/>
      <c r="F164" s="240"/>
    </row>
    <row r="165" spans="1:7" s="16" customFormat="1" x14ac:dyDescent="0.2">
      <c r="C165" s="241"/>
      <c r="D165" s="242"/>
      <c r="E165" s="242"/>
      <c r="F165" s="240"/>
    </row>
    <row r="166" spans="1:7" s="16" customFormat="1" ht="12.75" customHeight="1" x14ac:dyDescent="0.2">
      <c r="A166" s="356"/>
      <c r="B166" s="356"/>
      <c r="C166" s="356"/>
      <c r="D166" s="356"/>
      <c r="E166" s="356"/>
      <c r="F166" s="356"/>
    </row>
    <row r="167" spans="1:7" s="16" customFormat="1" x14ac:dyDescent="0.2">
      <c r="A167" s="356"/>
      <c r="B167" s="356"/>
      <c r="C167" s="356"/>
      <c r="D167" s="356"/>
      <c r="E167" s="356"/>
      <c r="F167" s="356"/>
    </row>
    <row r="168" spans="1:7" s="16" customFormat="1" x14ac:dyDescent="0.2">
      <c r="A168" s="356"/>
      <c r="B168" s="356"/>
      <c r="C168" s="356"/>
      <c r="D168" s="356"/>
      <c r="E168" s="356"/>
      <c r="F168" s="356"/>
    </row>
    <row r="169" spans="1:7" x14ac:dyDescent="0.2">
      <c r="A169" s="16"/>
      <c r="B169" s="16"/>
      <c r="C169" s="241"/>
      <c r="D169" s="242"/>
      <c r="E169" s="242"/>
      <c r="F169" s="240"/>
      <c r="G169" s="16"/>
    </row>
    <row r="170" spans="1:7" x14ac:dyDescent="0.2">
      <c r="A170" s="356"/>
      <c r="B170" s="356"/>
      <c r="C170" s="356"/>
      <c r="D170" s="356"/>
      <c r="E170" s="356"/>
      <c r="F170" s="356"/>
    </row>
    <row r="171" spans="1:7" x14ac:dyDescent="0.2">
      <c r="A171" s="356"/>
      <c r="B171" s="356"/>
      <c r="C171" s="356"/>
      <c r="D171" s="356"/>
      <c r="E171" s="356"/>
      <c r="F171" s="356"/>
    </row>
    <row r="172" spans="1:7" x14ac:dyDescent="0.2">
      <c r="A172" s="356"/>
      <c r="B172" s="356"/>
      <c r="C172" s="356"/>
      <c r="D172" s="356"/>
      <c r="E172" s="356"/>
      <c r="F172" s="356"/>
    </row>
    <row r="178" spans="6:6" x14ac:dyDescent="0.2">
      <c r="F178" s="80"/>
    </row>
    <row r="180" spans="6:6" x14ac:dyDescent="0.2">
      <c r="F180" s="80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tabSelected="1" zoomScale="80" zoomScaleNormal="80" zoomScalePageLayoutView="55" workbookViewId="0"/>
  </sheetViews>
  <sheetFormatPr defaultColWidth="9.140625" defaultRowHeight="12.75" x14ac:dyDescent="0.2"/>
  <cols>
    <col min="1" max="2" width="3.140625" style="243" customWidth="1"/>
    <col min="3" max="3" width="14.42578125" style="243" customWidth="1"/>
    <col min="4" max="4" width="13.140625" style="243" customWidth="1"/>
    <col min="5" max="5" width="12.85546875" style="243" customWidth="1"/>
    <col min="6" max="6" width="11.7109375" style="243" customWidth="1"/>
    <col min="7" max="7" width="15.85546875" style="243" bestFit="1" customWidth="1"/>
    <col min="8" max="8" width="19.28515625" style="243" customWidth="1"/>
    <col min="9" max="9" width="15.140625" style="243" bestFit="1" customWidth="1"/>
    <col min="10" max="11" width="14.42578125" style="243" customWidth="1"/>
    <col min="12" max="12" width="15.7109375" style="243" bestFit="1" customWidth="1"/>
    <col min="13" max="13" width="14.42578125" style="243" customWidth="1"/>
    <col min="14" max="14" width="17.140625" style="243" customWidth="1"/>
    <col min="15" max="15" width="3.7109375" style="243" customWidth="1"/>
    <col min="16" max="16" width="13.140625" style="243" customWidth="1"/>
    <col min="17" max="17" width="28.85546875" style="243" bestFit="1" customWidth="1"/>
    <col min="18" max="18" width="15.7109375" style="243" bestFit="1" customWidth="1"/>
    <col min="19" max="19" width="18.28515625" style="243" bestFit="1" customWidth="1"/>
    <col min="20" max="20" width="17.7109375" style="243" bestFit="1" customWidth="1"/>
    <col min="21" max="21" width="14.42578125" style="243" customWidth="1"/>
    <col min="22" max="22" width="13.7109375" style="243" bestFit="1" customWidth="1"/>
    <col min="23" max="23" width="14.140625" style="243" bestFit="1" customWidth="1"/>
    <col min="24" max="24" width="13.140625" style="243" bestFit="1" customWidth="1"/>
    <col min="25" max="38" width="10.85546875" style="243" customWidth="1"/>
    <col min="39" max="39" width="2.7109375" style="243" customWidth="1"/>
    <col min="40" max="16384" width="9.140625" style="24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153</v>
      </c>
      <c r="S2" s="244"/>
      <c r="T2" s="244"/>
      <c r="U2" s="244"/>
    </row>
    <row r="3" spans="1:39" ht="15.75" x14ac:dyDescent="0.25">
      <c r="A3" s="1" t="str">
        <f>+FFELP!D5</f>
        <v>Indenture No. 4, LLC</v>
      </c>
      <c r="R3" s="244"/>
      <c r="S3" s="244"/>
      <c r="T3" s="244"/>
      <c r="U3" s="244"/>
    </row>
    <row r="4" spans="1:39" ht="13.5" thickBot="1" x14ac:dyDescent="0.25">
      <c r="R4" s="244"/>
      <c r="S4" s="244"/>
      <c r="T4" s="244"/>
      <c r="U4" s="244"/>
    </row>
    <row r="5" spans="1:39" x14ac:dyDescent="0.2">
      <c r="B5" s="376" t="s">
        <v>6</v>
      </c>
      <c r="C5" s="377"/>
      <c r="D5" s="377"/>
      <c r="E5" s="380">
        <f>FFELP!D6</f>
        <v>41845</v>
      </c>
      <c r="F5" s="380"/>
      <c r="G5" s="381"/>
      <c r="R5" s="244"/>
      <c r="S5" s="244"/>
      <c r="T5" s="244"/>
      <c r="U5" s="244"/>
    </row>
    <row r="6" spans="1:39" ht="13.5" thickBot="1" x14ac:dyDescent="0.25">
      <c r="B6" s="361" t="s">
        <v>154</v>
      </c>
      <c r="C6" s="362"/>
      <c r="D6" s="362"/>
      <c r="E6" s="382">
        <f>FFELP!D7</f>
        <v>41820</v>
      </c>
      <c r="F6" s="382"/>
      <c r="G6" s="383"/>
      <c r="R6" s="244"/>
      <c r="S6" s="244"/>
      <c r="T6" s="244"/>
      <c r="U6" s="244"/>
    </row>
    <row r="8" spans="1:39" x14ac:dyDescent="0.2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</row>
    <row r="9" spans="1:39" ht="15.75" thickBot="1" x14ac:dyDescent="0.3">
      <c r="A9" s="246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S9" s="92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</row>
    <row r="10" spans="1:39" ht="6" customHeight="1" thickBot="1" x14ac:dyDescent="0.25">
      <c r="A10" s="245"/>
      <c r="B10" s="245"/>
      <c r="C10" s="245"/>
      <c r="D10" s="245"/>
      <c r="E10" s="245"/>
      <c r="F10" s="245"/>
      <c r="G10" s="245"/>
      <c r="H10" s="245"/>
      <c r="J10" s="155"/>
      <c r="K10" s="247"/>
      <c r="L10" s="247"/>
      <c r="M10" s="247"/>
      <c r="N10" s="248"/>
      <c r="O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</row>
    <row r="11" spans="1:39" ht="18" thickBot="1" x14ac:dyDescent="0.3">
      <c r="A11" s="249" t="s">
        <v>155</v>
      </c>
      <c r="B11" s="250"/>
      <c r="C11" s="250"/>
      <c r="D11" s="250"/>
      <c r="E11" s="250"/>
      <c r="F11" s="250"/>
      <c r="G11" s="250"/>
      <c r="H11" s="251"/>
      <c r="J11" s="115" t="s">
        <v>156</v>
      </c>
      <c r="K11" s="245"/>
      <c r="L11" s="245"/>
      <c r="M11" s="245"/>
      <c r="N11" s="252">
        <v>41820</v>
      </c>
      <c r="O11" s="253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</row>
    <row r="12" spans="1:39" x14ac:dyDescent="0.2">
      <c r="A12" s="115"/>
      <c r="B12" s="245"/>
      <c r="C12" s="245"/>
      <c r="D12" s="245"/>
      <c r="E12" s="245"/>
      <c r="F12" s="245"/>
      <c r="G12" s="245"/>
      <c r="H12" s="254"/>
      <c r="J12" s="255" t="s">
        <v>157</v>
      </c>
      <c r="L12" s="245"/>
      <c r="M12" s="245"/>
      <c r="N12" s="134">
        <f>'[1]DD certif'!B14</f>
        <v>31077.22</v>
      </c>
      <c r="O12" s="256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</row>
    <row r="13" spans="1:39" x14ac:dyDescent="0.2">
      <c r="A13" s="255"/>
      <c r="B13" s="245" t="s">
        <v>158</v>
      </c>
      <c r="C13" s="245"/>
      <c r="D13" s="245"/>
      <c r="E13" s="245"/>
      <c r="F13" s="245"/>
      <c r="G13" s="245"/>
      <c r="H13" s="134">
        <f>'[1]DD certif'!B10-H16-H17-H20-H18</f>
        <v>8083605.2999999989</v>
      </c>
      <c r="J13" s="24" t="s">
        <v>159</v>
      </c>
      <c r="L13" s="245"/>
      <c r="M13" s="245"/>
      <c r="N13" s="134">
        <f>'[1]DD certif'!E16</f>
        <v>170489.88</v>
      </c>
      <c r="O13" s="256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</row>
    <row r="14" spans="1:39" x14ac:dyDescent="0.2">
      <c r="A14" s="255"/>
      <c r="B14" s="245" t="s">
        <v>160</v>
      </c>
      <c r="C14" s="245"/>
      <c r="D14" s="245"/>
      <c r="E14" s="245"/>
      <c r="F14" s="257"/>
      <c r="G14" s="245"/>
      <c r="H14" s="258">
        <v>0</v>
      </c>
      <c r="J14" s="24" t="s">
        <v>161</v>
      </c>
      <c r="L14" s="245"/>
      <c r="M14" s="245"/>
      <c r="N14" s="134">
        <f>-'[1]DD certif'!I53</f>
        <v>18451.84</v>
      </c>
      <c r="O14" s="256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</row>
    <row r="15" spans="1:39" x14ac:dyDescent="0.2">
      <c r="A15" s="255"/>
      <c r="B15" s="245" t="s">
        <v>66</v>
      </c>
      <c r="C15" s="245"/>
      <c r="D15" s="245"/>
      <c r="E15" s="245"/>
      <c r="F15" s="245"/>
      <c r="G15" s="245"/>
      <c r="H15" s="258"/>
      <c r="J15" s="24" t="s">
        <v>162</v>
      </c>
      <c r="L15" s="245"/>
      <c r="M15" s="245"/>
      <c r="N15" s="134">
        <f>-'[1]DD certif'!J23</f>
        <v>22648.37</v>
      </c>
      <c r="O15" s="256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</row>
    <row r="16" spans="1:39" x14ac:dyDescent="0.2">
      <c r="A16" s="255"/>
      <c r="B16" s="245"/>
      <c r="C16" s="245" t="s">
        <v>163</v>
      </c>
      <c r="D16" s="245"/>
      <c r="E16" s="245"/>
      <c r="F16" s="245"/>
      <c r="G16" s="245"/>
      <c r="H16" s="134">
        <f>'[1]DD certif'!F10</f>
        <v>22246.49</v>
      </c>
      <c r="J16" s="24" t="s">
        <v>164</v>
      </c>
      <c r="L16" s="245"/>
      <c r="M16" s="245"/>
      <c r="N16" s="162">
        <v>0</v>
      </c>
      <c r="O16" s="136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</row>
    <row r="17" spans="1:39" ht="13.5" thickBot="1" x14ac:dyDescent="0.25">
      <c r="A17" s="255"/>
      <c r="B17" s="245" t="s">
        <v>165</v>
      </c>
      <c r="C17" s="245"/>
      <c r="D17" s="245"/>
      <c r="E17" s="245"/>
      <c r="F17" s="245"/>
      <c r="G17" s="245"/>
      <c r="H17" s="258">
        <f>'[1]DD certif'!E10</f>
        <v>868.51</v>
      </c>
      <c r="J17" s="259"/>
      <c r="K17" s="229" t="s">
        <v>166</v>
      </c>
      <c r="L17" s="260"/>
      <c r="M17" s="260"/>
      <c r="N17" s="261">
        <f>SUM(N12:N16)</f>
        <v>242667.31</v>
      </c>
      <c r="O17" s="136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</row>
    <row r="18" spans="1:39" x14ac:dyDescent="0.2">
      <c r="A18" s="255"/>
      <c r="B18" s="245" t="s">
        <v>167</v>
      </c>
      <c r="C18" s="245"/>
      <c r="D18" s="245"/>
      <c r="E18" s="245"/>
      <c r="F18" s="245"/>
      <c r="G18" s="245"/>
      <c r="H18" s="258">
        <v>0</v>
      </c>
      <c r="O18" s="256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</row>
    <row r="19" spans="1:39" x14ac:dyDescent="0.2">
      <c r="A19" s="255"/>
      <c r="B19" s="16" t="s">
        <v>168</v>
      </c>
      <c r="C19" s="245"/>
      <c r="D19" s="245"/>
      <c r="E19" s="245"/>
      <c r="F19" s="245"/>
      <c r="G19" s="245"/>
      <c r="H19" s="258">
        <v>0</v>
      </c>
      <c r="O19" s="136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</row>
    <row r="20" spans="1:39" x14ac:dyDescent="0.2">
      <c r="A20" s="255"/>
      <c r="B20" s="245" t="s">
        <v>169</v>
      </c>
      <c r="C20" s="245"/>
      <c r="D20" s="245"/>
      <c r="E20" s="245"/>
      <c r="F20" s="245"/>
      <c r="G20" s="245"/>
      <c r="H20" s="134">
        <f>N30</f>
        <v>2596944.64</v>
      </c>
      <c r="O20" s="256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</row>
    <row r="21" spans="1:39" x14ac:dyDescent="0.2">
      <c r="A21" s="255"/>
      <c r="B21" s="16" t="s">
        <v>170</v>
      </c>
      <c r="C21" s="245"/>
      <c r="D21" s="245"/>
      <c r="E21" s="245"/>
      <c r="F21" s="245"/>
      <c r="G21" s="245"/>
      <c r="H21" s="258"/>
      <c r="R21" s="13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</row>
    <row r="22" spans="1:39" ht="13.5" thickBot="1" x14ac:dyDescent="0.25">
      <c r="A22" s="255"/>
      <c r="B22" s="245" t="s">
        <v>171</v>
      </c>
      <c r="C22" s="245"/>
      <c r="D22" s="245"/>
      <c r="E22" s="245"/>
      <c r="F22" s="245"/>
      <c r="G22" s="245"/>
      <c r="H22" s="258">
        <v>0</v>
      </c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</row>
    <row r="23" spans="1:39" x14ac:dyDescent="0.2">
      <c r="A23" s="255"/>
      <c r="B23" s="245" t="s">
        <v>172</v>
      </c>
      <c r="C23" s="245"/>
      <c r="D23" s="245"/>
      <c r="E23" s="245"/>
      <c r="F23" s="245"/>
      <c r="G23" s="245"/>
      <c r="H23" s="258"/>
      <c r="J23" s="155" t="s">
        <v>173</v>
      </c>
      <c r="K23" s="247"/>
      <c r="L23" s="247"/>
      <c r="M23" s="247"/>
      <c r="N23" s="262">
        <v>41820</v>
      </c>
      <c r="O23" s="239"/>
      <c r="P23" s="348"/>
      <c r="Q23" s="245"/>
      <c r="R23" s="245"/>
      <c r="S23" s="245"/>
      <c r="T23" s="245"/>
      <c r="U23" s="92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</row>
    <row r="24" spans="1:39" x14ac:dyDescent="0.2">
      <c r="A24" s="255"/>
      <c r="B24" s="245" t="s">
        <v>174</v>
      </c>
      <c r="C24" s="245"/>
      <c r="D24" s="245"/>
      <c r="E24" s="245"/>
      <c r="F24" s="245"/>
      <c r="G24" s="245"/>
      <c r="H24" s="258"/>
      <c r="J24" s="255"/>
      <c r="K24" s="245"/>
      <c r="L24" s="245"/>
      <c r="M24" s="245"/>
      <c r="N24" s="263"/>
      <c r="P24" s="348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</row>
    <row r="25" spans="1:39" x14ac:dyDescent="0.2">
      <c r="A25" s="255"/>
      <c r="B25" s="245" t="s">
        <v>175</v>
      </c>
      <c r="C25" s="245"/>
      <c r="D25" s="245"/>
      <c r="E25" s="245"/>
      <c r="F25" s="245"/>
      <c r="G25" s="245"/>
      <c r="H25" s="134"/>
      <c r="J25" s="264" t="s">
        <v>176</v>
      </c>
      <c r="K25" s="245"/>
      <c r="L25" s="245"/>
      <c r="M25" s="245"/>
      <c r="N25" s="265">
        <v>2424219.31</v>
      </c>
      <c r="P25" s="348"/>
      <c r="Q25" s="349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</row>
    <row r="26" spans="1:39" x14ac:dyDescent="0.2">
      <c r="A26" s="255"/>
      <c r="B26" s="245" t="s">
        <v>177</v>
      </c>
      <c r="C26" s="245"/>
      <c r="D26" s="245"/>
      <c r="E26" s="245"/>
      <c r="F26" s="245"/>
      <c r="G26" s="245"/>
      <c r="H26" s="134"/>
      <c r="J26" s="264" t="s">
        <v>178</v>
      </c>
      <c r="K26" s="245"/>
      <c r="L26" s="245"/>
      <c r="M26" s="245"/>
      <c r="N26" s="267">
        <v>44118594.759999998</v>
      </c>
      <c r="P26" s="348"/>
      <c r="Q26" s="16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</row>
    <row r="27" spans="1:39" x14ac:dyDescent="0.2">
      <c r="A27" s="255"/>
      <c r="B27" s="245" t="s">
        <v>179</v>
      </c>
      <c r="C27" s="245"/>
      <c r="D27" s="245"/>
      <c r="E27" s="245"/>
      <c r="F27" s="245"/>
      <c r="G27" s="245"/>
      <c r="H27" s="258"/>
      <c r="J27" s="264" t="s">
        <v>180</v>
      </c>
      <c r="K27" s="245"/>
      <c r="L27" s="245"/>
      <c r="M27" s="245"/>
      <c r="N27" s="268">
        <v>7.7700000000000005E-2</v>
      </c>
      <c r="P27" s="350"/>
      <c r="Q27" s="16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</row>
    <row r="28" spans="1:39" x14ac:dyDescent="0.2">
      <c r="A28" s="255"/>
      <c r="B28" s="245"/>
      <c r="C28" s="245"/>
      <c r="D28" s="245"/>
      <c r="E28" s="245"/>
      <c r="F28" s="245"/>
      <c r="G28" s="245"/>
      <c r="H28" s="269"/>
      <c r="J28" s="264" t="s">
        <v>181</v>
      </c>
      <c r="K28" s="245"/>
      <c r="L28" s="245"/>
      <c r="M28" s="245"/>
      <c r="N28" s="270">
        <v>0.1013</v>
      </c>
      <c r="P28" s="350"/>
      <c r="Q28" s="16"/>
      <c r="R28" s="245"/>
      <c r="S28" s="245"/>
      <c r="T28" s="245"/>
    </row>
    <row r="29" spans="1:39" x14ac:dyDescent="0.2">
      <c r="A29" s="255"/>
      <c r="B29" s="245"/>
      <c r="C29" s="92" t="s">
        <v>182</v>
      </c>
      <c r="D29" s="245"/>
      <c r="E29" s="245"/>
      <c r="F29" s="245"/>
      <c r="G29" s="245"/>
      <c r="H29" s="271">
        <f>SUM(H13:H28)</f>
        <v>10703664.939999999</v>
      </c>
      <c r="I29" s="272"/>
      <c r="J29" s="273"/>
      <c r="K29" s="245"/>
      <c r="L29" s="245"/>
      <c r="M29" s="245"/>
      <c r="N29" s="267"/>
      <c r="P29" s="348"/>
      <c r="Q29" s="16"/>
      <c r="R29" s="245"/>
      <c r="S29" s="245"/>
      <c r="T29" s="245"/>
    </row>
    <row r="30" spans="1:39" ht="13.5" thickBot="1" x14ac:dyDescent="0.25">
      <c r="A30" s="255"/>
      <c r="B30" s="245"/>
      <c r="C30" s="92"/>
      <c r="D30" s="245"/>
      <c r="E30" s="245"/>
      <c r="F30" s="245"/>
      <c r="G30" s="245"/>
      <c r="H30" s="269"/>
      <c r="J30" s="264" t="s">
        <v>183</v>
      </c>
      <c r="K30" s="245"/>
      <c r="L30" s="245"/>
      <c r="M30" s="245"/>
      <c r="N30" s="265">
        <v>2596944.64</v>
      </c>
      <c r="P30" s="348"/>
      <c r="Q30" s="16"/>
      <c r="R30" s="245"/>
      <c r="S30" s="245"/>
      <c r="T30" s="245"/>
    </row>
    <row r="31" spans="1:39" x14ac:dyDescent="0.2">
      <c r="A31" s="274" t="s">
        <v>184</v>
      </c>
      <c r="B31" s="275"/>
      <c r="C31" s="276"/>
      <c r="D31" s="275"/>
      <c r="E31" s="275"/>
      <c r="F31" s="275"/>
      <c r="G31" s="275"/>
      <c r="H31" s="277"/>
      <c r="J31" s="264" t="s">
        <v>185</v>
      </c>
      <c r="K31" s="245"/>
      <c r="L31" s="245"/>
      <c r="M31" s="245"/>
      <c r="N31" s="267" t="s">
        <v>247</v>
      </c>
      <c r="P31" s="348"/>
      <c r="Q31" s="16"/>
      <c r="R31" s="245"/>
      <c r="S31" s="245"/>
      <c r="T31" s="245"/>
    </row>
    <row r="32" spans="1:39" ht="14.25" x14ac:dyDescent="0.2">
      <c r="A32" s="60"/>
      <c r="B32" s="232"/>
      <c r="C32" s="232"/>
      <c r="D32" s="232"/>
      <c r="E32" s="232"/>
      <c r="F32" s="232"/>
      <c r="G32" s="232"/>
      <c r="H32" s="278"/>
      <c r="J32" s="24" t="s">
        <v>186</v>
      </c>
      <c r="K32" s="245"/>
      <c r="L32" s="245"/>
      <c r="M32" s="245"/>
      <c r="N32" s="265">
        <v>41834188.659999996</v>
      </c>
      <c r="P32" s="348"/>
      <c r="Q32" s="16"/>
      <c r="R32" s="245"/>
      <c r="S32" s="245"/>
      <c r="T32" s="245"/>
    </row>
    <row r="33" spans="1:20" ht="15" thickBot="1" x14ac:dyDescent="0.25">
      <c r="A33" s="65"/>
      <c r="B33" s="279"/>
      <c r="C33" s="279"/>
      <c r="D33" s="279"/>
      <c r="E33" s="279"/>
      <c r="F33" s="279"/>
      <c r="G33" s="280"/>
      <c r="H33" s="281"/>
      <c r="J33" s="24" t="s">
        <v>187</v>
      </c>
      <c r="K33" s="16"/>
      <c r="L33" s="16"/>
      <c r="M33" s="16"/>
      <c r="N33" s="270">
        <v>0.94820000000000004</v>
      </c>
      <c r="P33" s="350"/>
      <c r="Q33" s="16"/>
      <c r="R33" s="245"/>
      <c r="S33" s="245"/>
      <c r="T33" s="245"/>
    </row>
    <row r="34" spans="1:20" s="233" customFormat="1" x14ac:dyDescent="0.2">
      <c r="A34" s="62"/>
      <c r="B34" s="232"/>
      <c r="C34" s="232"/>
      <c r="D34" s="232"/>
      <c r="E34" s="232"/>
      <c r="F34" s="232"/>
      <c r="G34" s="232"/>
      <c r="H34" s="232"/>
      <c r="J34" s="24" t="s">
        <v>188</v>
      </c>
      <c r="K34" s="16"/>
      <c r="L34" s="16"/>
      <c r="M34" s="16"/>
      <c r="N34" s="270">
        <v>4.0000000000000001E-3</v>
      </c>
      <c r="P34" s="351"/>
      <c r="Q34" s="16"/>
      <c r="R34" s="232"/>
      <c r="S34" s="232"/>
      <c r="T34" s="232"/>
    </row>
    <row r="35" spans="1:20" s="233" customFormat="1" ht="13.5" thickBot="1" x14ac:dyDescent="0.25">
      <c r="G35" s="282"/>
      <c r="J35" s="283" t="s">
        <v>189</v>
      </c>
      <c r="K35" s="284"/>
      <c r="L35" s="284"/>
      <c r="M35" s="284"/>
      <c r="N35" s="285">
        <v>0</v>
      </c>
      <c r="P35" s="232"/>
      <c r="Q35" s="16"/>
      <c r="R35" s="232"/>
      <c r="S35" s="232"/>
      <c r="T35" s="232"/>
    </row>
    <row r="36" spans="1:20" s="233" customFormat="1" x14ac:dyDescent="0.2">
      <c r="H36" s="286"/>
      <c r="J36" s="287" t="s">
        <v>190</v>
      </c>
      <c r="K36" s="288"/>
      <c r="L36" s="288"/>
      <c r="M36" s="288"/>
      <c r="N36" s="289"/>
      <c r="P36" s="232"/>
      <c r="Q36" s="290"/>
      <c r="R36" s="352"/>
      <c r="S36" s="232"/>
      <c r="T36" s="232"/>
    </row>
    <row r="37" spans="1:20" s="233" customFormat="1" ht="12" thickBot="1" x14ac:dyDescent="0.25">
      <c r="H37" s="282"/>
      <c r="J37" s="373" t="s">
        <v>191</v>
      </c>
      <c r="K37" s="374"/>
      <c r="L37" s="374"/>
      <c r="M37" s="374"/>
      <c r="N37" s="375"/>
      <c r="O37" s="291"/>
      <c r="P37" s="232"/>
      <c r="Q37" s="62"/>
      <c r="R37" s="352"/>
      <c r="S37" s="232"/>
      <c r="T37" s="232"/>
    </row>
    <row r="38" spans="1:20" s="233" customFormat="1" x14ac:dyDescent="0.2">
      <c r="J38" s="62"/>
      <c r="K38" s="92"/>
      <c r="L38" s="245"/>
      <c r="M38" s="245"/>
      <c r="N38" s="245"/>
      <c r="O38" s="245"/>
      <c r="P38" s="232"/>
      <c r="Q38" s="232"/>
      <c r="R38" s="352"/>
      <c r="S38" s="352"/>
      <c r="T38" s="232"/>
    </row>
    <row r="39" spans="1:20" ht="13.5" thickBot="1" x14ac:dyDescent="0.25">
      <c r="P39" s="245"/>
      <c r="Q39" s="245"/>
      <c r="R39" s="322"/>
      <c r="S39" s="245"/>
      <c r="T39" s="245"/>
    </row>
    <row r="40" spans="1:20" ht="15.75" thickBot="1" x14ac:dyDescent="0.3">
      <c r="A40" s="249" t="s">
        <v>192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O40" s="245"/>
      <c r="P40" s="245"/>
      <c r="Q40" s="245"/>
      <c r="R40" s="322"/>
      <c r="S40" s="245"/>
      <c r="T40" s="245"/>
    </row>
    <row r="41" spans="1:20" ht="15.75" thickBot="1" x14ac:dyDescent="0.3">
      <c r="A41" s="292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69"/>
      <c r="O41" s="245"/>
      <c r="Q41" s="233"/>
      <c r="R41" s="293"/>
    </row>
    <row r="42" spans="1:20" x14ac:dyDescent="0.2">
      <c r="A42" s="294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8"/>
      <c r="O42" s="245"/>
      <c r="S42" s="272"/>
    </row>
    <row r="43" spans="1:20" x14ac:dyDescent="0.2">
      <c r="A43" s="115" t="s">
        <v>193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95" t="s">
        <v>194</v>
      </c>
      <c r="M43" s="296"/>
      <c r="N43" s="297" t="s">
        <v>195</v>
      </c>
      <c r="O43" s="298"/>
      <c r="R43" s="272"/>
    </row>
    <row r="44" spans="1:20" x14ac:dyDescent="0.2">
      <c r="A44" s="25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69"/>
      <c r="O44" s="245"/>
    </row>
    <row r="45" spans="1:20" x14ac:dyDescent="0.2">
      <c r="A45" s="255"/>
      <c r="B45" s="299" t="s">
        <v>182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1"/>
      <c r="M45" s="301"/>
      <c r="N45" s="302">
        <f>'[1]DD certif'!B10</f>
        <v>10703664.939999999</v>
      </c>
      <c r="O45" s="245"/>
      <c r="Q45" s="272"/>
    </row>
    <row r="46" spans="1:20" x14ac:dyDescent="0.2">
      <c r="A46" s="255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1"/>
      <c r="M46" s="301"/>
      <c r="N46" s="302"/>
      <c r="O46" s="256"/>
    </row>
    <row r="47" spans="1:20" x14ac:dyDescent="0.2">
      <c r="A47" s="255"/>
      <c r="B47" s="299" t="s">
        <v>196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3">
        <f>'[1]DD certif'!B12</f>
        <v>813183.8</v>
      </c>
      <c r="M47" s="301"/>
      <c r="N47" s="302">
        <f>N45-L47</f>
        <v>9890481.1399999987</v>
      </c>
      <c r="O47" s="256"/>
    </row>
    <row r="48" spans="1:20" x14ac:dyDescent="0.2">
      <c r="A48" s="255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3"/>
      <c r="M48" s="301"/>
      <c r="N48" s="302"/>
      <c r="O48" s="256"/>
    </row>
    <row r="49" spans="1:24" x14ac:dyDescent="0.2">
      <c r="A49" s="255"/>
      <c r="B49" s="299" t="s">
        <v>197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3">
        <f>-'[1]DD certif'!I51</f>
        <v>31077.22</v>
      </c>
      <c r="M49" s="301"/>
      <c r="N49" s="302">
        <f>N47-L49</f>
        <v>9859403.9199999981</v>
      </c>
      <c r="O49" s="256"/>
    </row>
    <row r="50" spans="1:24" x14ac:dyDescent="0.2">
      <c r="A50" s="255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3"/>
      <c r="M50" s="301"/>
      <c r="N50" s="302"/>
      <c r="O50" s="256"/>
    </row>
    <row r="51" spans="1:24" x14ac:dyDescent="0.2">
      <c r="A51" s="255"/>
      <c r="B51" s="299" t="s">
        <v>198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3">
        <f>N13</f>
        <v>170489.88</v>
      </c>
      <c r="M51" s="301"/>
      <c r="N51" s="302">
        <f>N49-L51</f>
        <v>9688914.0399999972</v>
      </c>
      <c r="O51" s="136"/>
    </row>
    <row r="52" spans="1:24" x14ac:dyDescent="0.2">
      <c r="A52" s="255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3"/>
      <c r="M52" s="301"/>
      <c r="N52" s="302"/>
      <c r="O52" s="256"/>
    </row>
    <row r="53" spans="1:24" x14ac:dyDescent="0.2">
      <c r="A53" s="255"/>
      <c r="B53" s="299" t="s">
        <v>199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3">
        <f>N14</f>
        <v>18451.84</v>
      </c>
      <c r="M53" s="301"/>
      <c r="N53" s="302">
        <f>N51-L53</f>
        <v>9670462.1999999974</v>
      </c>
      <c r="O53" s="256"/>
    </row>
    <row r="54" spans="1:24" x14ac:dyDescent="0.2">
      <c r="A54" s="255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3"/>
      <c r="M54" s="301"/>
      <c r="N54" s="302"/>
      <c r="O54" s="256"/>
    </row>
    <row r="55" spans="1:24" x14ac:dyDescent="0.2">
      <c r="A55" s="255"/>
      <c r="B55" s="299" t="s">
        <v>200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3">
        <f>[1]libor!L7</f>
        <v>264579.96999999997</v>
      </c>
      <c r="M55" s="301"/>
      <c r="N55" s="302">
        <f>N53-L55</f>
        <v>9405882.2299999967</v>
      </c>
      <c r="O55" s="256"/>
    </row>
    <row r="56" spans="1:24" x14ac:dyDescent="0.2">
      <c r="A56" s="255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3"/>
      <c r="M56" s="301"/>
      <c r="N56" s="302"/>
      <c r="O56" s="256"/>
    </row>
    <row r="57" spans="1:24" x14ac:dyDescent="0.2">
      <c r="A57" s="255"/>
      <c r="B57" s="299" t="s">
        <v>201</v>
      </c>
      <c r="C57" s="300"/>
      <c r="D57" s="300"/>
      <c r="E57" s="300"/>
      <c r="F57" s="300"/>
      <c r="G57" s="300"/>
      <c r="H57" s="300"/>
      <c r="I57" s="300"/>
      <c r="J57" s="300"/>
      <c r="K57" s="300"/>
      <c r="L57" s="301">
        <f>[1]libor!L8</f>
        <v>20624.18</v>
      </c>
      <c r="M57" s="301"/>
      <c r="N57" s="302">
        <f>N55-L57</f>
        <v>9385258.049999997</v>
      </c>
      <c r="O57" s="256"/>
      <c r="P57" s="245"/>
      <c r="Q57" s="245"/>
      <c r="R57" s="245"/>
      <c r="S57" s="245"/>
      <c r="T57" s="245"/>
      <c r="U57" s="245"/>
      <c r="V57" s="245"/>
      <c r="W57" s="245"/>
      <c r="X57" s="245"/>
    </row>
    <row r="58" spans="1:24" x14ac:dyDescent="0.2">
      <c r="A58" s="255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1"/>
      <c r="M58" s="301"/>
      <c r="N58" s="302"/>
      <c r="O58" s="256"/>
      <c r="P58" s="245"/>
      <c r="Q58" s="304"/>
      <c r="R58" s="245"/>
      <c r="S58" s="384"/>
      <c r="T58" s="384"/>
      <c r="U58" s="245"/>
      <c r="V58" s="245"/>
      <c r="W58" s="245"/>
      <c r="X58" s="245"/>
    </row>
    <row r="59" spans="1:24" x14ac:dyDescent="0.2">
      <c r="A59" s="255"/>
      <c r="B59" s="299" t="s">
        <v>202</v>
      </c>
      <c r="C59" s="300"/>
      <c r="D59" s="300"/>
      <c r="E59" s="300"/>
      <c r="F59" s="300"/>
      <c r="G59" s="300"/>
      <c r="H59" s="300"/>
      <c r="I59" s="300"/>
      <c r="J59" s="300"/>
      <c r="K59" s="300"/>
      <c r="L59" s="301">
        <v>0</v>
      </c>
      <c r="M59" s="301"/>
      <c r="N59" s="302">
        <f>N57-L59</f>
        <v>9385258.049999997</v>
      </c>
      <c r="O59" s="256"/>
      <c r="P59" s="245"/>
      <c r="Q59" s="245"/>
      <c r="R59" s="245"/>
      <c r="S59" s="16"/>
      <c r="T59" s="245"/>
      <c r="U59" s="245"/>
      <c r="V59" s="245"/>
      <c r="W59" s="245"/>
      <c r="X59" s="245"/>
    </row>
    <row r="60" spans="1:24" x14ac:dyDescent="0.2">
      <c r="A60" s="255"/>
      <c r="B60" s="299"/>
      <c r="C60" s="300"/>
      <c r="D60" s="300"/>
      <c r="E60" s="300"/>
      <c r="F60" s="300"/>
      <c r="G60" s="300"/>
      <c r="H60" s="300"/>
      <c r="I60" s="300"/>
      <c r="J60" s="300"/>
      <c r="K60" s="300"/>
      <c r="L60" s="301"/>
      <c r="M60" s="301"/>
      <c r="N60" s="302"/>
      <c r="O60" s="256"/>
      <c r="P60" s="305"/>
      <c r="Q60" s="16"/>
      <c r="R60" s="16"/>
      <c r="S60" s="306"/>
      <c r="T60" s="256"/>
      <c r="U60" s="245"/>
      <c r="V60" s="256"/>
      <c r="W60" s="256"/>
      <c r="X60" s="256"/>
    </row>
    <row r="61" spans="1:24" x14ac:dyDescent="0.2">
      <c r="A61" s="255"/>
      <c r="B61" s="299" t="s">
        <v>203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01">
        <f>-'[1]DD certif'!I68</f>
        <v>9385258.0500000007</v>
      </c>
      <c r="M61" s="301"/>
      <c r="N61" s="302">
        <f>N59-L61</f>
        <v>0</v>
      </c>
      <c r="O61" s="256"/>
      <c r="P61" s="305"/>
      <c r="Q61" s="16"/>
      <c r="R61" s="16"/>
      <c r="S61" s="306"/>
      <c r="T61" s="256"/>
      <c r="U61" s="245"/>
      <c r="V61" s="256"/>
      <c r="W61" s="256"/>
      <c r="X61" s="256"/>
    </row>
    <row r="62" spans="1:24" x14ac:dyDescent="0.2">
      <c r="A62" s="255"/>
      <c r="B62" s="299"/>
      <c r="C62" s="300"/>
      <c r="D62" s="300"/>
      <c r="E62" s="300"/>
      <c r="F62" s="300"/>
      <c r="G62" s="300"/>
      <c r="H62" s="300"/>
      <c r="I62" s="300"/>
      <c r="J62" s="300"/>
      <c r="K62" s="300"/>
      <c r="L62" s="301"/>
      <c r="M62" s="301"/>
      <c r="N62" s="302"/>
      <c r="O62" s="256"/>
      <c r="P62" s="305"/>
      <c r="Q62" s="16"/>
      <c r="R62" s="16"/>
      <c r="S62" s="306"/>
      <c r="T62" s="256"/>
      <c r="U62" s="245"/>
      <c r="V62" s="256"/>
      <c r="W62" s="256"/>
      <c r="X62" s="256"/>
    </row>
    <row r="63" spans="1:24" x14ac:dyDescent="0.2">
      <c r="A63" s="255"/>
      <c r="B63" s="299" t="s">
        <v>204</v>
      </c>
      <c r="C63" s="300"/>
      <c r="D63" s="300"/>
      <c r="E63" s="300"/>
      <c r="F63" s="300"/>
      <c r="G63" s="300"/>
      <c r="H63" s="300"/>
      <c r="I63" s="300"/>
      <c r="J63" s="300"/>
      <c r="K63" s="300"/>
      <c r="L63" s="301">
        <v>0</v>
      </c>
      <c r="M63" s="301"/>
      <c r="N63" s="302">
        <v>0</v>
      </c>
      <c r="O63" s="256"/>
      <c r="P63" s="305"/>
      <c r="Q63" s="16"/>
      <c r="R63" s="16"/>
      <c r="S63" s="306"/>
      <c r="T63" s="256"/>
      <c r="U63" s="245"/>
      <c r="V63" s="256"/>
      <c r="W63" s="256"/>
      <c r="X63" s="256"/>
    </row>
    <row r="64" spans="1:24" x14ac:dyDescent="0.2">
      <c r="A64" s="255"/>
      <c r="B64" s="299"/>
      <c r="C64" s="300"/>
      <c r="D64" s="300"/>
      <c r="E64" s="300"/>
      <c r="F64" s="300"/>
      <c r="G64" s="300"/>
      <c r="H64" s="300"/>
      <c r="I64" s="300"/>
      <c r="J64" s="300"/>
      <c r="K64" s="300"/>
      <c r="L64" s="301"/>
      <c r="M64" s="301"/>
      <c r="N64" s="302"/>
      <c r="O64" s="256"/>
      <c r="P64" s="305"/>
      <c r="Q64" s="16"/>
      <c r="R64" s="16"/>
      <c r="S64" s="306"/>
      <c r="T64" s="256"/>
      <c r="U64" s="245"/>
      <c r="V64" s="256"/>
      <c r="W64" s="256"/>
      <c r="X64" s="256"/>
    </row>
    <row r="65" spans="1:24" x14ac:dyDescent="0.2">
      <c r="A65" s="255"/>
      <c r="B65" s="299" t="s">
        <v>205</v>
      </c>
      <c r="C65" s="300"/>
      <c r="D65" s="300"/>
      <c r="E65" s="300"/>
      <c r="F65" s="300"/>
      <c r="G65" s="300"/>
      <c r="H65" s="300"/>
      <c r="I65" s="300"/>
      <c r="J65" s="300"/>
      <c r="K65" s="300"/>
      <c r="L65" s="301">
        <v>0</v>
      </c>
      <c r="M65" s="301"/>
      <c r="N65" s="302">
        <v>0</v>
      </c>
      <c r="O65" s="256"/>
      <c r="P65" s="305"/>
      <c r="Q65" s="16"/>
      <c r="R65" s="16"/>
      <c r="S65" s="306"/>
      <c r="T65" s="256"/>
      <c r="U65" s="245"/>
      <c r="V65" s="256"/>
      <c r="W65" s="256"/>
      <c r="X65" s="256"/>
    </row>
    <row r="66" spans="1:24" x14ac:dyDescent="0.2">
      <c r="A66" s="255"/>
      <c r="B66" s="299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7"/>
      <c r="O66" s="256"/>
      <c r="P66" s="305"/>
      <c r="Q66" s="16"/>
      <c r="R66" s="16"/>
      <c r="S66" s="306"/>
      <c r="T66" s="256"/>
      <c r="U66" s="245"/>
      <c r="V66" s="256"/>
      <c r="W66" s="256"/>
      <c r="X66" s="256"/>
    </row>
    <row r="67" spans="1:24" x14ac:dyDescent="0.2">
      <c r="A67" s="255"/>
      <c r="B67" s="299" t="s">
        <v>206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7"/>
      <c r="O67" s="256"/>
      <c r="P67" s="305"/>
      <c r="Q67" s="16"/>
      <c r="R67" s="16"/>
      <c r="S67" s="306"/>
      <c r="T67" s="256"/>
      <c r="U67" s="245"/>
      <c r="V67" s="256"/>
      <c r="W67" s="256"/>
      <c r="X67" s="256"/>
    </row>
    <row r="68" spans="1:24" x14ac:dyDescent="0.2">
      <c r="A68" s="255"/>
      <c r="B68" s="299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7"/>
      <c r="O68" s="256"/>
      <c r="P68" s="305"/>
      <c r="Q68" s="16"/>
      <c r="R68" s="16"/>
      <c r="S68" s="306"/>
      <c r="T68" s="256"/>
      <c r="U68" s="245"/>
      <c r="V68" s="256"/>
      <c r="W68" s="256"/>
      <c r="X68" s="256"/>
    </row>
    <row r="69" spans="1:24" x14ac:dyDescent="0.2">
      <c r="A69" s="255"/>
      <c r="B69" s="299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7"/>
      <c r="O69" s="256"/>
      <c r="P69" s="305"/>
      <c r="Q69" s="16"/>
      <c r="R69" s="16"/>
      <c r="S69" s="306"/>
      <c r="T69" s="256"/>
      <c r="U69" s="245"/>
      <c r="V69" s="256"/>
      <c r="W69" s="256"/>
      <c r="X69" s="256"/>
    </row>
    <row r="70" spans="1:24" x14ac:dyDescent="0.2">
      <c r="A70" s="255"/>
      <c r="B70" s="308"/>
      <c r="C70" s="309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7"/>
      <c r="O70" s="256"/>
      <c r="P70" s="310"/>
      <c r="Q70" s="16"/>
      <c r="R70" s="16"/>
      <c r="S70" s="306"/>
      <c r="T70" s="256"/>
      <c r="U70" s="245"/>
      <c r="V70" s="256"/>
      <c r="W70" s="245"/>
      <c r="X70" s="245"/>
    </row>
    <row r="71" spans="1:24" x14ac:dyDescent="0.2">
      <c r="A71" s="60"/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7"/>
      <c r="O71" s="256"/>
      <c r="P71" s="305"/>
      <c r="Q71" s="16"/>
      <c r="R71" s="16"/>
      <c r="S71" s="306"/>
      <c r="T71" s="256"/>
      <c r="U71" s="245"/>
      <c r="V71" s="256"/>
      <c r="W71" s="245"/>
      <c r="X71" s="245"/>
    </row>
    <row r="72" spans="1:24" ht="13.5" thickBot="1" x14ac:dyDescent="0.25">
      <c r="A72" s="65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2"/>
      <c r="O72" s="256"/>
      <c r="P72" s="310"/>
      <c r="Q72" s="16"/>
      <c r="R72" s="16"/>
      <c r="S72" s="313"/>
      <c r="T72" s="256"/>
      <c r="U72" s="245"/>
      <c r="V72" s="256"/>
      <c r="W72" s="245"/>
      <c r="X72" s="245"/>
    </row>
    <row r="73" spans="1:24" ht="13.5" thickBot="1" x14ac:dyDescent="0.25">
      <c r="A73" s="255"/>
      <c r="B73" s="9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56"/>
      <c r="P73" s="16"/>
      <c r="Q73" s="92"/>
      <c r="R73" s="92"/>
      <c r="S73" s="240"/>
      <c r="T73" s="240"/>
      <c r="U73" s="245"/>
      <c r="V73" s="245"/>
      <c r="W73" s="245"/>
      <c r="X73" s="245"/>
    </row>
    <row r="74" spans="1:24" x14ac:dyDescent="0.2">
      <c r="A74" s="155" t="s">
        <v>207</v>
      </c>
      <c r="B74" s="247"/>
      <c r="C74" s="247"/>
      <c r="D74" s="247"/>
      <c r="E74" s="247"/>
      <c r="F74" s="247"/>
      <c r="G74" s="314" t="s">
        <v>208</v>
      </c>
      <c r="H74" s="314" t="s">
        <v>209</v>
      </c>
      <c r="I74" s="315" t="s">
        <v>210</v>
      </c>
      <c r="J74" s="245"/>
      <c r="K74" s="245"/>
      <c r="L74" s="245"/>
      <c r="M74" s="245"/>
      <c r="N74" s="245"/>
      <c r="O74" s="256"/>
      <c r="P74" s="305"/>
      <c r="Q74" s="16"/>
      <c r="R74" s="16"/>
      <c r="S74" s="313"/>
      <c r="T74" s="256"/>
      <c r="U74" s="245"/>
      <c r="V74" s="245"/>
      <c r="W74" s="245"/>
      <c r="X74" s="245"/>
    </row>
    <row r="75" spans="1:24" x14ac:dyDescent="0.2">
      <c r="A75" s="255"/>
      <c r="B75" s="245"/>
      <c r="C75" s="245"/>
      <c r="D75" s="245"/>
      <c r="E75" s="245"/>
      <c r="F75" s="245"/>
      <c r="G75" s="316"/>
      <c r="H75" s="316"/>
      <c r="I75" s="269"/>
      <c r="J75" s="245"/>
      <c r="K75" s="245"/>
      <c r="L75" s="245"/>
      <c r="M75" s="245"/>
      <c r="N75" s="245"/>
      <c r="O75" s="256"/>
      <c r="P75" s="310"/>
      <c r="Q75" s="16"/>
      <c r="R75" s="16"/>
      <c r="S75" s="313"/>
      <c r="T75" s="256"/>
      <c r="U75" s="245"/>
      <c r="V75" s="245"/>
      <c r="W75" s="245"/>
      <c r="X75" s="245"/>
    </row>
    <row r="76" spans="1:24" x14ac:dyDescent="0.2">
      <c r="A76" s="255"/>
      <c r="B76" s="245" t="s">
        <v>211</v>
      </c>
      <c r="C76" s="245"/>
      <c r="D76" s="245"/>
      <c r="E76" s="245"/>
      <c r="F76" s="245"/>
      <c r="G76" s="317">
        <f>L55</f>
        <v>264579.96999999997</v>
      </c>
      <c r="H76" s="317">
        <f>L57</f>
        <v>20624.18</v>
      </c>
      <c r="I76" s="263">
        <f>SUM(G76:H76)</f>
        <v>285204.14999999997</v>
      </c>
      <c r="J76" s="245"/>
      <c r="K76" s="245"/>
      <c r="L76" s="245"/>
      <c r="M76" s="245"/>
      <c r="N76" s="245"/>
      <c r="O76" s="256"/>
      <c r="P76" s="310"/>
      <c r="Q76" s="16"/>
      <c r="R76" s="16"/>
      <c r="S76" s="313"/>
      <c r="T76" s="256"/>
      <c r="U76" s="245"/>
      <c r="V76" s="245"/>
      <c r="W76" s="245"/>
      <c r="X76" s="245"/>
    </row>
    <row r="77" spans="1:24" x14ac:dyDescent="0.2">
      <c r="A77" s="255"/>
      <c r="B77" s="245" t="s">
        <v>212</v>
      </c>
      <c r="C77" s="245"/>
      <c r="D77" s="245"/>
      <c r="E77" s="245"/>
      <c r="F77" s="245"/>
      <c r="G77" s="318">
        <f>+G76</f>
        <v>264579.96999999997</v>
      </c>
      <c r="H77" s="318">
        <f>+H76</f>
        <v>20624.18</v>
      </c>
      <c r="I77" s="319">
        <f>SUM(G77:H77)</f>
        <v>285204.14999999997</v>
      </c>
      <c r="J77" s="245"/>
      <c r="K77" s="245"/>
      <c r="L77" s="245"/>
      <c r="M77" s="245"/>
      <c r="N77" s="245"/>
      <c r="O77" s="256"/>
      <c r="P77" s="245"/>
      <c r="Q77" s="92"/>
      <c r="R77" s="92"/>
      <c r="S77" s="240"/>
      <c r="T77" s="240"/>
      <c r="U77" s="245"/>
      <c r="V77" s="245"/>
      <c r="W77" s="245"/>
      <c r="X77" s="245"/>
    </row>
    <row r="78" spans="1:24" x14ac:dyDescent="0.2">
      <c r="A78" s="255"/>
      <c r="B78" s="245"/>
      <c r="C78" s="16" t="s">
        <v>213</v>
      </c>
      <c r="D78" s="245"/>
      <c r="E78" s="245"/>
      <c r="F78" s="245"/>
      <c r="G78" s="317">
        <v>0</v>
      </c>
      <c r="H78" s="317">
        <v>0</v>
      </c>
      <c r="I78" s="263">
        <f>+I77-I76</f>
        <v>0</v>
      </c>
      <c r="J78" s="245"/>
      <c r="K78" s="245"/>
      <c r="L78" s="245"/>
      <c r="M78" s="245"/>
      <c r="N78" s="245"/>
      <c r="O78" s="256"/>
      <c r="P78" s="245"/>
      <c r="Q78" s="16"/>
      <c r="R78" s="320"/>
      <c r="S78" s="256"/>
      <c r="T78" s="256"/>
      <c r="U78" s="245"/>
      <c r="V78" s="245"/>
      <c r="W78" s="245"/>
      <c r="X78" s="245"/>
    </row>
    <row r="79" spans="1:24" x14ac:dyDescent="0.2">
      <c r="A79" s="255"/>
      <c r="B79" s="245"/>
      <c r="C79" s="245"/>
      <c r="D79" s="245"/>
      <c r="E79" s="245"/>
      <c r="F79" s="245"/>
      <c r="G79" s="316"/>
      <c r="H79" s="316"/>
      <c r="I79" s="269"/>
      <c r="J79" s="245"/>
      <c r="K79" s="245"/>
      <c r="L79" s="245"/>
      <c r="M79" s="245"/>
      <c r="N79" s="245"/>
      <c r="O79" s="256"/>
      <c r="P79" s="245"/>
      <c r="Q79" s="92"/>
      <c r="R79" s="92"/>
      <c r="S79" s="240"/>
      <c r="T79" s="240"/>
      <c r="U79" s="16"/>
      <c r="V79" s="245"/>
      <c r="W79" s="245"/>
      <c r="X79" s="245"/>
    </row>
    <row r="80" spans="1:24" x14ac:dyDescent="0.2">
      <c r="A80" s="255"/>
      <c r="B80" s="245" t="s">
        <v>214</v>
      </c>
      <c r="C80" s="245"/>
      <c r="D80" s="245"/>
      <c r="E80" s="245"/>
      <c r="F80" s="245"/>
      <c r="G80" s="321">
        <v>0</v>
      </c>
      <c r="H80" s="321">
        <v>0</v>
      </c>
      <c r="I80" s="263">
        <f>SUM(G80:H80)</f>
        <v>0</v>
      </c>
      <c r="J80" s="245"/>
      <c r="K80" s="245"/>
      <c r="L80" s="245"/>
      <c r="M80" s="245"/>
      <c r="N80" s="245"/>
      <c r="O80" s="256"/>
      <c r="P80" s="245"/>
      <c r="Q80" s="245"/>
      <c r="R80" s="245"/>
      <c r="S80" s="245"/>
      <c r="T80" s="322"/>
      <c r="U80" s="245"/>
      <c r="V80" s="245"/>
      <c r="W80" s="245"/>
      <c r="X80" s="245"/>
    </row>
    <row r="81" spans="1:24" x14ac:dyDescent="0.2">
      <c r="A81" s="255"/>
      <c r="B81" s="245" t="s">
        <v>215</v>
      </c>
      <c r="C81" s="245"/>
      <c r="D81" s="245"/>
      <c r="E81" s="245"/>
      <c r="F81" s="245"/>
      <c r="G81" s="323">
        <f>G80</f>
        <v>0</v>
      </c>
      <c r="H81" s="323">
        <f>H80</f>
        <v>0</v>
      </c>
      <c r="I81" s="319">
        <f>SUM(G81:H81)</f>
        <v>0</v>
      </c>
      <c r="J81" s="245"/>
      <c r="K81" s="245"/>
      <c r="L81" s="245"/>
      <c r="M81" s="245"/>
      <c r="N81" s="245"/>
      <c r="O81" s="256"/>
      <c r="P81" s="245"/>
      <c r="Q81" s="245"/>
      <c r="R81" s="245"/>
      <c r="S81" s="245"/>
      <c r="T81" s="322"/>
      <c r="U81" s="245"/>
      <c r="V81" s="245"/>
      <c r="W81" s="245"/>
      <c r="X81" s="245"/>
    </row>
    <row r="82" spans="1:24" x14ac:dyDescent="0.2">
      <c r="A82" s="255"/>
      <c r="B82" s="245"/>
      <c r="C82" s="245" t="s">
        <v>216</v>
      </c>
      <c r="D82" s="245"/>
      <c r="E82" s="245"/>
      <c r="F82" s="245"/>
      <c r="G82" s="321">
        <v>0</v>
      </c>
      <c r="H82" s="321"/>
      <c r="I82" s="263">
        <f>+I81-I80</f>
        <v>0</v>
      </c>
      <c r="J82" s="245"/>
      <c r="K82" s="245"/>
      <c r="L82" s="245"/>
      <c r="M82" s="245"/>
      <c r="N82" s="245"/>
      <c r="O82" s="256"/>
      <c r="P82" s="245"/>
      <c r="Q82" s="245"/>
      <c r="R82" s="245"/>
      <c r="S82" s="245"/>
      <c r="T82" s="245"/>
      <c r="U82" s="245"/>
      <c r="V82" s="245"/>
      <c r="W82" s="245"/>
      <c r="X82" s="245"/>
    </row>
    <row r="83" spans="1:24" x14ac:dyDescent="0.2">
      <c r="A83" s="255"/>
      <c r="B83" s="245"/>
      <c r="C83" s="245"/>
      <c r="D83" s="245"/>
      <c r="E83" s="245"/>
      <c r="F83" s="245"/>
      <c r="G83" s="316"/>
      <c r="H83" s="316"/>
      <c r="I83" s="269"/>
      <c r="J83" s="245"/>
      <c r="K83" s="245"/>
      <c r="L83" s="245"/>
      <c r="M83" s="245"/>
      <c r="N83" s="245"/>
      <c r="O83" s="256"/>
      <c r="P83" s="245"/>
      <c r="Q83" s="245"/>
      <c r="R83" s="245"/>
      <c r="S83" s="245"/>
      <c r="T83" s="245"/>
      <c r="U83" s="245"/>
      <c r="V83" s="245"/>
      <c r="W83" s="245"/>
      <c r="X83" s="245"/>
    </row>
    <row r="84" spans="1:24" x14ac:dyDescent="0.2">
      <c r="A84" s="255"/>
      <c r="B84" s="245" t="s">
        <v>217</v>
      </c>
      <c r="C84" s="245"/>
      <c r="D84" s="245"/>
      <c r="E84" s="245"/>
      <c r="F84" s="245"/>
      <c r="G84" s="317">
        <f>L61</f>
        <v>9385258.0500000007</v>
      </c>
      <c r="H84" s="317">
        <v>0</v>
      </c>
      <c r="I84" s="263">
        <f>SUM(G84:H84)</f>
        <v>9385258.0500000007</v>
      </c>
      <c r="J84" s="245"/>
      <c r="K84" s="245"/>
      <c r="L84" s="245"/>
      <c r="M84" s="245"/>
      <c r="N84" s="245"/>
      <c r="O84" s="256"/>
      <c r="P84" s="245"/>
      <c r="Q84" s="245"/>
      <c r="R84" s="245"/>
      <c r="S84" s="245"/>
      <c r="T84" s="245"/>
      <c r="U84" s="245"/>
      <c r="V84" s="245"/>
      <c r="W84" s="245"/>
      <c r="X84" s="245"/>
    </row>
    <row r="85" spans="1:24" x14ac:dyDescent="0.2">
      <c r="A85" s="255"/>
      <c r="B85" s="245" t="s">
        <v>218</v>
      </c>
      <c r="C85" s="245"/>
      <c r="D85" s="245"/>
      <c r="E85" s="245"/>
      <c r="F85" s="245"/>
      <c r="G85" s="318">
        <f>G84</f>
        <v>9385258.0500000007</v>
      </c>
      <c r="H85" s="323">
        <f>H84</f>
        <v>0</v>
      </c>
      <c r="I85" s="319">
        <f>SUM(G85:H85)</f>
        <v>9385258.0500000007</v>
      </c>
      <c r="J85" s="245"/>
      <c r="K85" s="245"/>
      <c r="L85" s="245"/>
      <c r="M85" s="245"/>
      <c r="N85" s="245"/>
      <c r="O85" s="256"/>
      <c r="P85" s="2"/>
    </row>
    <row r="86" spans="1:24" x14ac:dyDescent="0.2">
      <c r="A86" s="255"/>
      <c r="B86" s="245"/>
      <c r="C86" s="16" t="s">
        <v>219</v>
      </c>
      <c r="D86" s="245"/>
      <c r="E86" s="245"/>
      <c r="F86" s="245"/>
      <c r="G86" s="317">
        <f>+G85-G84</f>
        <v>0</v>
      </c>
      <c r="H86" s="317">
        <f>+H85-H84</f>
        <v>0</v>
      </c>
      <c r="I86" s="263">
        <f>+I85-I84</f>
        <v>0</v>
      </c>
      <c r="J86" s="245"/>
      <c r="K86" s="245"/>
      <c r="L86" s="245"/>
      <c r="M86" s="245"/>
      <c r="N86" s="245"/>
      <c r="O86" s="256"/>
    </row>
    <row r="87" spans="1:24" s="233" customFormat="1" x14ac:dyDescent="0.2">
      <c r="A87" s="255"/>
      <c r="B87" s="245"/>
      <c r="C87" s="245"/>
      <c r="D87" s="245"/>
      <c r="E87" s="245"/>
      <c r="F87" s="245"/>
      <c r="G87" s="316"/>
      <c r="H87" s="316"/>
      <c r="I87" s="269"/>
      <c r="J87" s="232"/>
      <c r="K87" s="232"/>
      <c r="L87" s="232"/>
      <c r="M87" s="232"/>
      <c r="N87" s="232"/>
      <c r="O87" s="245"/>
      <c r="Q87" s="243"/>
      <c r="R87" s="243"/>
      <c r="S87" s="243"/>
      <c r="T87" s="243"/>
      <c r="U87" s="243"/>
    </row>
    <row r="88" spans="1:24" x14ac:dyDescent="0.2">
      <c r="A88" s="255"/>
      <c r="B88" s="245"/>
      <c r="C88" s="92" t="s">
        <v>220</v>
      </c>
      <c r="D88" s="245"/>
      <c r="E88" s="245"/>
      <c r="F88" s="245"/>
      <c r="G88" s="317">
        <f>+G77+G85</f>
        <v>9649838.0200000014</v>
      </c>
      <c r="H88" s="317">
        <f>+H77+H85</f>
        <v>20624.18</v>
      </c>
      <c r="I88" s="263">
        <f>+I85+I77</f>
        <v>9670462.2000000011</v>
      </c>
      <c r="J88" s="245"/>
      <c r="K88" s="245"/>
      <c r="L88" s="245"/>
      <c r="M88" s="245"/>
      <c r="N88" s="245"/>
      <c r="O88" s="245"/>
      <c r="P88" s="245"/>
      <c r="Q88" s="232"/>
      <c r="R88" s="232"/>
      <c r="S88" s="232"/>
      <c r="T88" s="232"/>
      <c r="U88" s="232"/>
    </row>
    <row r="89" spans="1:24" x14ac:dyDescent="0.2">
      <c r="A89" s="255"/>
      <c r="B89" s="245"/>
      <c r="C89" s="245"/>
      <c r="D89" s="245"/>
      <c r="E89" s="245"/>
      <c r="F89" s="245"/>
      <c r="G89" s="316"/>
      <c r="H89" s="316"/>
      <c r="I89" s="269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</row>
    <row r="90" spans="1:24" ht="13.5" thickBot="1" x14ac:dyDescent="0.25">
      <c r="A90" s="259"/>
      <c r="B90" s="260"/>
      <c r="C90" s="260"/>
      <c r="D90" s="260"/>
      <c r="E90" s="260"/>
      <c r="F90" s="260"/>
      <c r="G90" s="324"/>
      <c r="H90" s="324"/>
      <c r="I90" s="325"/>
      <c r="O90" s="245"/>
      <c r="P90" s="245"/>
      <c r="Q90" s="245"/>
      <c r="R90" s="245"/>
      <c r="S90" s="245"/>
      <c r="T90" s="245"/>
      <c r="U90" s="245"/>
    </row>
    <row r="91" spans="1:24" x14ac:dyDescent="0.2">
      <c r="O91" s="245"/>
      <c r="P91" s="245"/>
      <c r="Q91" s="133"/>
      <c r="R91" s="245"/>
      <c r="S91" s="245"/>
      <c r="T91" s="245"/>
      <c r="U91" s="245"/>
    </row>
    <row r="92" spans="1:24" x14ac:dyDescent="0.2">
      <c r="O92" s="245"/>
      <c r="P92" s="326"/>
      <c r="Q92" s="326"/>
      <c r="R92" s="245"/>
      <c r="S92" s="245"/>
      <c r="T92" s="245"/>
      <c r="U92" s="245"/>
    </row>
    <row r="93" spans="1:24" x14ac:dyDescent="0.2">
      <c r="O93" s="327"/>
      <c r="P93" s="326"/>
      <c r="Q93" s="326"/>
      <c r="R93" s="245"/>
      <c r="S93" s="245"/>
      <c r="T93" s="245"/>
      <c r="U93" s="245"/>
    </row>
    <row r="94" spans="1:24" x14ac:dyDescent="0.2">
      <c r="O94" s="327"/>
      <c r="P94" s="326"/>
      <c r="Q94" s="326"/>
      <c r="R94" s="245"/>
      <c r="S94" s="245"/>
      <c r="T94" s="245"/>
      <c r="U94" s="245"/>
    </row>
    <row r="95" spans="1:24" x14ac:dyDescent="0.2">
      <c r="O95" s="245"/>
      <c r="P95" s="322"/>
      <c r="Q95" s="322"/>
      <c r="R95" s="245"/>
      <c r="S95" s="245"/>
      <c r="T95" s="245"/>
      <c r="U95" s="245"/>
    </row>
    <row r="96" spans="1:24" x14ac:dyDescent="0.2">
      <c r="O96" s="245"/>
      <c r="P96" s="322"/>
      <c r="Q96" s="322"/>
      <c r="R96" s="322"/>
      <c r="S96" s="245"/>
      <c r="T96" s="245"/>
      <c r="U96" s="245"/>
    </row>
    <row r="97" spans="15:21" x14ac:dyDescent="0.2">
      <c r="O97" s="245"/>
      <c r="P97" s="245"/>
      <c r="Q97" s="245"/>
      <c r="R97" s="245"/>
      <c r="S97" s="245"/>
      <c r="T97" s="245"/>
      <c r="U97" s="245"/>
    </row>
    <row r="98" spans="15:21" x14ac:dyDescent="0.2">
      <c r="O98" s="245"/>
      <c r="P98" s="245"/>
      <c r="Q98" s="245"/>
      <c r="R98" s="245"/>
      <c r="S98" s="245"/>
      <c r="T98" s="245"/>
      <c r="U98" s="245"/>
    </row>
    <row r="241" spans="4:5" x14ac:dyDescent="0.2">
      <c r="D241" s="328"/>
      <c r="E241" s="328"/>
    </row>
    <row r="242" spans="4:5" x14ac:dyDescent="0.2">
      <c r="D242" s="328"/>
      <c r="E242" s="32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/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329" t="s">
        <v>221</v>
      </c>
      <c r="B1" s="330"/>
    </row>
    <row r="2" spans="1:3" x14ac:dyDescent="0.2">
      <c r="A2" s="329" t="s">
        <v>222</v>
      </c>
      <c r="B2" s="330"/>
    </row>
    <row r="3" spans="1:3" x14ac:dyDescent="0.2">
      <c r="A3" s="331">
        <v>41820</v>
      </c>
      <c r="B3" s="330"/>
    </row>
    <row r="4" spans="1:3" x14ac:dyDescent="0.2">
      <c r="A4" s="329" t="s">
        <v>223</v>
      </c>
      <c r="B4" s="330"/>
    </row>
    <row r="7" spans="1:3" x14ac:dyDescent="0.2">
      <c r="A7" s="332" t="s">
        <v>224</v>
      </c>
    </row>
    <row r="9" spans="1:3" x14ac:dyDescent="0.2">
      <c r="A9" s="333" t="s">
        <v>225</v>
      </c>
      <c r="B9" s="334">
        <f>'[1]Ind 4 BS'!B15+'[1]Ind 4 BS'!B19</f>
        <v>14301710.66</v>
      </c>
      <c r="C9" s="335"/>
    </row>
    <row r="10" spans="1:3" x14ac:dyDescent="0.2">
      <c r="A10" s="333" t="s">
        <v>226</v>
      </c>
      <c r="B10" s="336"/>
      <c r="C10" s="335"/>
    </row>
    <row r="11" spans="1:3" x14ac:dyDescent="0.2">
      <c r="A11" s="333" t="s">
        <v>227</v>
      </c>
      <c r="B11" s="337"/>
      <c r="C11" s="335"/>
    </row>
    <row r="12" spans="1:3" x14ac:dyDescent="0.2">
      <c r="A12" s="333" t="s">
        <v>228</v>
      </c>
      <c r="B12" s="337">
        <f>'[1]Ind 4 BS'!B32</f>
        <v>442844087.57999998</v>
      </c>
      <c r="C12" s="335"/>
    </row>
    <row r="13" spans="1:3" x14ac:dyDescent="0.2">
      <c r="A13" s="333" t="s">
        <v>229</v>
      </c>
      <c r="B13" s="337">
        <f>'[1]Ind 4 BS'!B46</f>
        <v>-1641244.72</v>
      </c>
      <c r="C13" s="335"/>
    </row>
    <row r="14" spans="1:3" x14ac:dyDescent="0.2">
      <c r="A14" s="333" t="s">
        <v>230</v>
      </c>
      <c r="B14" s="338">
        <f>SUM(B12:B13)</f>
        <v>441202842.85999995</v>
      </c>
      <c r="C14" s="335"/>
    </row>
    <row r="15" spans="1:3" x14ac:dyDescent="0.2">
      <c r="A15" s="333"/>
      <c r="B15" s="337"/>
      <c r="C15" s="335"/>
    </row>
    <row r="16" spans="1:3" x14ac:dyDescent="0.2">
      <c r="A16" s="333" t="s">
        <v>231</v>
      </c>
      <c r="B16" s="337">
        <f>'[1]Ind 4 BS'!B36</f>
        <v>11706344.27</v>
      </c>
      <c r="C16" s="335"/>
    </row>
    <row r="17" spans="1:3" x14ac:dyDescent="0.2">
      <c r="A17" s="333" t="s">
        <v>232</v>
      </c>
      <c r="B17" s="337">
        <f>'[1]Ind 4 BS'!B37+'[1]Ind 4 BS'!B38+'[1]Ind 4 BS'!B39</f>
        <v>1062069.51</v>
      </c>
      <c r="C17" s="335"/>
    </row>
    <row r="18" spans="1:3" x14ac:dyDescent="0.2">
      <c r="A18" s="333" t="s">
        <v>233</v>
      </c>
      <c r="B18" s="337">
        <f>'[1]Ind 4 BS'!B45</f>
        <v>2899666</v>
      </c>
      <c r="C18" s="335"/>
    </row>
    <row r="19" spans="1:3" x14ac:dyDescent="0.2">
      <c r="A19" s="333" t="s">
        <v>234</v>
      </c>
      <c r="B19" s="337"/>
      <c r="C19" s="335"/>
    </row>
    <row r="20" spans="1:3" x14ac:dyDescent="0.2">
      <c r="A20" s="335"/>
      <c r="B20" s="339"/>
      <c r="C20" s="335"/>
    </row>
    <row r="21" spans="1:3" ht="13.5" thickBot="1" x14ac:dyDescent="0.25">
      <c r="A21" s="340" t="s">
        <v>81</v>
      </c>
      <c r="B21" s="341">
        <f>B9+B14+B16+B19+B17+B18</f>
        <v>471172633.29999995</v>
      </c>
      <c r="C21" s="335"/>
    </row>
    <row r="22" spans="1:3" ht="13.5" thickTop="1" x14ac:dyDescent="0.2">
      <c r="A22" s="335"/>
      <c r="B22" s="336"/>
      <c r="C22" s="335"/>
    </row>
    <row r="23" spans="1:3" x14ac:dyDescent="0.2">
      <c r="A23" s="335"/>
      <c r="B23" s="336"/>
      <c r="C23" s="335"/>
    </row>
    <row r="24" spans="1:3" x14ac:dyDescent="0.2">
      <c r="A24" s="340" t="s">
        <v>235</v>
      </c>
      <c r="B24" s="336"/>
      <c r="C24" s="335"/>
    </row>
    <row r="25" spans="1:3" x14ac:dyDescent="0.2">
      <c r="A25" s="335"/>
      <c r="B25" s="336"/>
      <c r="C25" s="335"/>
    </row>
    <row r="26" spans="1:3" x14ac:dyDescent="0.2">
      <c r="A26" s="333" t="s">
        <v>236</v>
      </c>
      <c r="B26" s="342"/>
      <c r="C26" s="335"/>
    </row>
    <row r="27" spans="1:3" x14ac:dyDescent="0.2">
      <c r="A27" s="333" t="s">
        <v>237</v>
      </c>
      <c r="B27" s="334">
        <f>'[1]Ind 4 BS'!B74</f>
        <v>455721781.80000001</v>
      </c>
      <c r="C27" s="335"/>
    </row>
    <row r="28" spans="1:3" x14ac:dyDescent="0.2">
      <c r="A28" s="333" t="s">
        <v>238</v>
      </c>
      <c r="B28" s="337">
        <f>[1]libor!L10</f>
        <v>285204.14999999997</v>
      </c>
      <c r="C28" s="335"/>
    </row>
    <row r="29" spans="1:3" x14ac:dyDescent="0.2">
      <c r="A29" s="333" t="s">
        <v>239</v>
      </c>
      <c r="B29" s="337">
        <f>'[1]Ind 4 BS'!B63-B28</f>
        <v>4284458.5699999994</v>
      </c>
      <c r="C29" s="335"/>
    </row>
    <row r="30" spans="1:3" x14ac:dyDescent="0.2">
      <c r="A30" s="333" t="s">
        <v>240</v>
      </c>
      <c r="B30" s="337"/>
      <c r="C30" s="335"/>
    </row>
    <row r="31" spans="1:3" x14ac:dyDescent="0.2">
      <c r="A31" s="333" t="s">
        <v>241</v>
      </c>
      <c r="B31" s="337"/>
      <c r="C31" s="335"/>
    </row>
    <row r="32" spans="1:3" x14ac:dyDescent="0.2">
      <c r="A32" s="335"/>
      <c r="B32" s="339"/>
      <c r="C32" s="335"/>
    </row>
    <row r="33" spans="1:3" ht="13.5" thickBot="1" x14ac:dyDescent="0.25">
      <c r="A33" s="333" t="s">
        <v>242</v>
      </c>
      <c r="B33" s="343">
        <f>SUM(B26:B32)</f>
        <v>460291444.51999998</v>
      </c>
      <c r="C33" s="335"/>
    </row>
    <row r="34" spans="1:3" ht="13.5" thickTop="1" x14ac:dyDescent="0.2">
      <c r="A34" s="335"/>
      <c r="B34" s="344"/>
      <c r="C34" s="335"/>
    </row>
    <row r="35" spans="1:3" x14ac:dyDescent="0.2">
      <c r="A35" s="340" t="s">
        <v>243</v>
      </c>
      <c r="B35" s="345">
        <f>'[1]Ind 4 BS'!B81</f>
        <v>10881188.779999999</v>
      </c>
      <c r="C35" s="335"/>
    </row>
    <row r="36" spans="1:3" x14ac:dyDescent="0.2">
      <c r="A36" s="335"/>
      <c r="B36" s="336"/>
      <c r="C36" s="335"/>
    </row>
    <row r="37" spans="1:3" ht="13.5" thickBot="1" x14ac:dyDescent="0.25">
      <c r="A37" s="340" t="s">
        <v>244</v>
      </c>
      <c r="B37" s="341">
        <f>+B33+B35</f>
        <v>471172633.29999995</v>
      </c>
      <c r="C37" s="335"/>
    </row>
    <row r="38" spans="1:3" ht="13.5" thickTop="1" x14ac:dyDescent="0.2">
      <c r="A38" s="335"/>
      <c r="B38" s="336"/>
      <c r="C38" s="335"/>
    </row>
    <row r="39" spans="1:3" x14ac:dyDescent="0.2">
      <c r="A39" s="335"/>
      <c r="B39" s="346">
        <f>B21-B37</f>
        <v>0</v>
      </c>
      <c r="C39" s="335"/>
    </row>
    <row r="40" spans="1:3" x14ac:dyDescent="0.2">
      <c r="B40" s="347"/>
    </row>
    <row r="41" spans="1:3" x14ac:dyDescent="0.2">
      <c r="A41" s="335" t="s">
        <v>245</v>
      </c>
      <c r="B41" s="336"/>
      <c r="C41" s="335"/>
    </row>
    <row r="42" spans="1:3" x14ac:dyDescent="0.2">
      <c r="A42" s="335" t="s">
        <v>246</v>
      </c>
      <c r="B42" s="336"/>
      <c r="C42" s="335"/>
    </row>
    <row r="43" spans="1:3" x14ac:dyDescent="0.2">
      <c r="A43" s="266"/>
      <c r="B43" s="347"/>
      <c r="C43" s="266"/>
    </row>
    <row r="44" spans="1:3" x14ac:dyDescent="0.2">
      <c r="B44" s="347"/>
    </row>
    <row r="45" spans="1:3" x14ac:dyDescent="0.2">
      <c r="B45" s="347"/>
    </row>
    <row r="46" spans="1:3" x14ac:dyDescent="0.2">
      <c r="B46" s="347"/>
    </row>
    <row r="47" spans="1:3" x14ac:dyDescent="0.2">
      <c r="B47" s="347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Julie Henry</cp:lastModifiedBy>
  <dcterms:created xsi:type="dcterms:W3CDTF">2014-07-23T15:49:23Z</dcterms:created>
  <dcterms:modified xsi:type="dcterms:W3CDTF">2014-07-24T15:42:57Z</dcterms:modified>
</cp:coreProperties>
</file>