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4300" windowHeight="12525"/>
  </bookViews>
  <sheets>
    <sheet name="ESA_FFELP(3)" sheetId="1" r:id="rId1"/>
    <sheet name="ESA_Collection and Waterfal(3)" sheetId="2" r:id="rId2"/>
    <sheet name="ESA_Balance Sheet(3)" sheetId="3" r:id="rId3"/>
  </sheets>
  <definedNames>
    <definedName name="_xlnm.Print_Area" localSheetId="0">'ESA_FFELP(3)'!$A$82:$O$163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H52" i="1" l="1"/>
  <c r="B21" i="3" l="1"/>
  <c r="B14" i="3"/>
  <c r="G76" i="1" l="1"/>
  <c r="F76" i="1"/>
  <c r="H76" i="1"/>
  <c r="H74" i="1" l="1"/>
  <c r="F74" i="1"/>
  <c r="F72" i="1"/>
  <c r="F69" i="1"/>
  <c r="H69" i="1"/>
  <c r="F68" i="1" l="1"/>
  <c r="H68" i="1"/>
  <c r="F52" i="1"/>
  <c r="F50" i="1"/>
  <c r="G74" i="1"/>
  <c r="G73" i="1"/>
  <c r="G72" i="1"/>
  <c r="G69" i="1"/>
  <c r="G68" i="1"/>
  <c r="G67" i="1"/>
  <c r="G66" i="1"/>
  <c r="G65" i="1"/>
  <c r="G64" i="1"/>
  <c r="G63" i="1"/>
  <c r="G52" i="1"/>
  <c r="G50" i="1"/>
  <c r="G49" i="1"/>
  <c r="G48" i="1"/>
  <c r="G47" i="1"/>
  <c r="G46" i="1"/>
  <c r="G45" i="1"/>
  <c r="G37" i="1"/>
  <c r="G36" i="1"/>
  <c r="G35" i="1"/>
  <c r="G34" i="1"/>
  <c r="G33" i="1"/>
  <c r="G29" i="1"/>
  <c r="G28" i="1"/>
  <c r="G27" i="1"/>
  <c r="J19" i="1" l="1"/>
  <c r="J18" i="1"/>
  <c r="J17" i="1"/>
  <c r="I17" i="1"/>
  <c r="H19" i="1"/>
  <c r="G19" i="1"/>
  <c r="F19" i="1"/>
  <c r="L53" i="2" l="1"/>
  <c r="B29" i="3"/>
  <c r="B27" i="3"/>
  <c r="B17" i="3"/>
  <c r="B9" i="3"/>
  <c r="B33" i="3"/>
  <c r="B37" i="3" s="1"/>
  <c r="N31" i="2"/>
  <c r="N30" i="2"/>
  <c r="N29" i="2"/>
  <c r="N27" i="2"/>
  <c r="H12" i="2" l="1"/>
  <c r="H16" i="2"/>
  <c r="H20" i="2"/>
  <c r="H28" i="2"/>
  <c r="H25" i="2"/>
  <c r="N17" i="2"/>
  <c r="N14" i="2"/>
  <c r="H77" i="2"/>
  <c r="H67" i="2"/>
  <c r="G67" i="2"/>
  <c r="G74" i="2"/>
  <c r="G77" i="2" s="1"/>
  <c r="N53" i="2"/>
  <c r="N49" i="2"/>
  <c r="N47" i="2"/>
  <c r="N45" i="2"/>
  <c r="L49" i="2"/>
  <c r="L47" i="2"/>
  <c r="B39" i="3"/>
  <c r="G75" i="2" l="1"/>
</calcChain>
</file>

<file path=xl/sharedStrings.xml><?xml version="1.0" encoding="utf-8"?>
<sst xmlns="http://schemas.openxmlformats.org/spreadsheetml/2006/main" count="323" uniqueCount="229">
  <si>
    <t>Student Loan Backed Reporting Template</t>
  </si>
  <si>
    <t>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</si>
  <si>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</si>
  <si>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</si>
  <si>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</si>
  <si>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</si>
  <si>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</si>
  <si>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</si>
  <si>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</si>
  <si>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Contact Number</t>
  </si>
  <si>
    <t>Contact Email</t>
  </si>
  <si>
    <t>Website</t>
  </si>
  <si>
    <t>Notes/Bonds (FFELP)</t>
  </si>
  <si>
    <t>Class</t>
  </si>
  <si>
    <t>CUSIP</t>
  </si>
  <si>
    <t>Rate</t>
  </si>
  <si>
    <t>Index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</si>
  <si>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</si>
  <si>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</si>
  <si>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</si>
  <si>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</si>
  <si>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</si>
  <si>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</si>
  <si>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Maturity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</si>
  <si>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</si>
  <si>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</si>
  <si>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</si>
  <si>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</si>
  <si>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</si>
  <si>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</si>
  <si>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</si>
  <si>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</si>
  <si>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</si>
  <si>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Principal Balance</t>
  </si>
  <si>
    <t>(should include grace period)</t>
  </si>
  <si>
    <t>Accrued Interest</t>
  </si>
  <si>
    <t xml:space="preserve">    In School</t>
  </si>
  <si>
    <t>Total Pool Balance</t>
  </si>
  <si>
    <t xml:space="preserve">    Grace</t>
  </si>
  <si>
    <t>Total Accounts Balance</t>
  </si>
  <si>
    <t xml:space="preserve">    Deferment</t>
  </si>
  <si>
    <t>Total Trust Assets</t>
  </si>
  <si>
    <t xml:space="preserve">    Forbearance</t>
  </si>
  <si>
    <t>W.A. Time in Repayment (months)</t>
  </si>
  <si>
    <t>Weighted Average Coupon (WAC)</t>
  </si>
  <si>
    <t xml:space="preserve">    Repayment</t>
  </si>
  <si>
    <t>Weghted Average Maturity (WAM)</t>
  </si>
  <si>
    <t xml:space="preserve">    Claims in Progress</t>
  </si>
  <si>
    <t>Number of Loans</t>
  </si>
  <si>
    <t xml:space="preserve">    Claims Denied</t>
  </si>
  <si>
    <t>Number of Borrowers</t>
  </si>
  <si>
    <t>Total Weighted Average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</si>
  <si>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</si>
  <si>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</si>
  <si>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</si>
  <si>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</si>
  <si>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</si>
  <si>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</si>
  <si>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</si>
  <si>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</si>
  <si>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</si>
  <si>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</si>
  <si>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</si>
  <si>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</si>
  <si>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%</t>
  </si>
  <si>
    <t>Assets</t>
  </si>
  <si>
    <t xml:space="preserve">     Current</t>
  </si>
  <si>
    <t xml:space="preserve">    Loans Receivable</t>
  </si>
  <si>
    <t xml:space="preserve">     Lifetime</t>
  </si>
  <si>
    <t xml:space="preserve">    Accrued Interest on Investment</t>
  </si>
  <si>
    <t xml:space="preserve">    Total Accounts/Funds Balance</t>
  </si>
  <si>
    <t>Total Assets</t>
  </si>
  <si>
    <t>Servicer Balance</t>
  </si>
  <si>
    <t>Liabilities</t>
  </si>
  <si>
    <t>Principal</t>
  </si>
  <si>
    <t>% of Principal</t>
  </si>
  <si>
    <t># of Loans</t>
  </si>
  <si>
    <t>Clms Outstding</t>
  </si>
  <si>
    <t xml:space="preserve">   Bonds Payable</t>
  </si>
  <si>
    <t xml:space="preserve">    Edfinancial</t>
  </si>
  <si>
    <t xml:space="preserve">   Accrued Interest on Bonds</t>
  </si>
  <si>
    <t xml:space="preserve">    PHEAA</t>
  </si>
  <si>
    <t>Total Liabilities</t>
  </si>
  <si>
    <t xml:space="preserve">    GSFC</t>
  </si>
  <si>
    <t xml:space="preserve">    Great Lakes</t>
  </si>
  <si>
    <t>Total Parity %</t>
  </si>
  <si>
    <t>Total Portfolio</t>
  </si>
  <si>
    <t>Portfolio by Loan Status</t>
  </si>
  <si>
    <t>WAC</t>
  </si>
  <si>
    <t>WARM</t>
  </si>
  <si>
    <t>Beginning</t>
  </si>
  <si>
    <t>Ending</t>
  </si>
  <si>
    <t>In School</t>
  </si>
  <si>
    <t>Grace</t>
  </si>
  <si>
    <t>Repayment</t>
  </si>
  <si>
    <t xml:space="preserve">    Current</t>
  </si>
  <si>
    <t xml:space="preserve">    31-60 Days Delinquent</t>
  </si>
  <si>
    <t xml:space="preserve">    61-90 Days Delinquent</t>
  </si>
  <si>
    <t xml:space="preserve">    91-120 Days Delinqent</t>
  </si>
  <si>
    <t xml:space="preserve">    121-180 Days Delinquent</t>
  </si>
  <si>
    <t xml:space="preserve">    181-270 Days Delinquent</t>
  </si>
  <si>
    <t xml:space="preserve">    271+ Days Delinquent</t>
  </si>
  <si>
    <t>Total Repayment</t>
  </si>
  <si>
    <t>Forbearance</t>
  </si>
  <si>
    <t>Deferment</t>
  </si>
  <si>
    <t>Claims in Progress-Pre-Indenture</t>
  </si>
  <si>
    <t>Claims in Progress-Post-Indenture</t>
  </si>
  <si>
    <t>Claims Denied</t>
  </si>
  <si>
    <t>Delinquency Status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</si>
  <si>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</si>
  <si>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</si>
  <si>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</si>
  <si>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</si>
  <si>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</si>
  <si>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</si>
  <si>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PLUS/GradPLUS Loans</t>
  </si>
  <si>
    <t>SLS Loans</t>
  </si>
  <si>
    <t>Portfolio by Program Type</t>
  </si>
  <si>
    <t>Graduate / 4-Year Loans</t>
  </si>
  <si>
    <t>2-Year Loans</t>
  </si>
  <si>
    <t>Proprietary / Technical / Vocational Loans</t>
  </si>
  <si>
    <t>Unknown (Consolidation) Loans</t>
  </si>
  <si>
    <t>Other Loans</t>
  </si>
  <si>
    <t>Portfolio by SAP Index</t>
  </si>
  <si>
    <t>Margin</t>
  </si>
  <si>
    <t>T-Bill Loans</t>
  </si>
  <si>
    <t>1ML Loans</t>
  </si>
  <si>
    <t>Monitoring Waterfall and Collections</t>
  </si>
  <si>
    <t>Collection Period</t>
  </si>
  <si>
    <t>Collection Activity</t>
  </si>
  <si>
    <t>Collection Account</t>
  </si>
  <si>
    <t>Fees Due for Current Period</t>
  </si>
  <si>
    <t>Collection Amount Received</t>
  </si>
  <si>
    <t xml:space="preserve">   Indenture Trustee Fees</t>
  </si>
  <si>
    <t>Recoveries</t>
  </si>
  <si>
    <t xml:space="preserve">   Servicing Fees</t>
  </si>
  <si>
    <t xml:space="preserve">   Administration Fees</t>
  </si>
  <si>
    <t>Excess of Required Reserve Account</t>
  </si>
  <si>
    <t xml:space="preserve">   Late Fees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</si>
  <si>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</si>
  <si>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</si>
  <si>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</si>
  <si>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</si>
  <si>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</si>
  <si>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</si>
  <si>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Prepayments</t>
  </si>
  <si>
    <t>Purchased by Servicers/Sellers</t>
  </si>
  <si>
    <t xml:space="preserve">   Current Period Defaults ($)</t>
  </si>
  <si>
    <t>Prior Quarter's Allocations or Adjustments</t>
  </si>
  <si>
    <t xml:space="preserve">   Cumulative Defaults ($)</t>
  </si>
  <si>
    <t>Investment Income</t>
  </si>
  <si>
    <t xml:space="preserve">   Cumulative Default (% of original pool balance)</t>
  </si>
  <si>
    <t>All Fees</t>
  </si>
  <si>
    <r>
      <t xml:space="preserve">   Cumulative Default (% of cumulative entered repayment balance)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</si>
  <si>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t xml:space="preserve">   Current Period Payments (Recoveries) from Guarantor ($)</t>
  </si>
  <si>
    <t>Total Available Funds</t>
  </si>
  <si>
    <t xml:space="preserve">   Current Period Borrower Recoveries ($)</t>
  </si>
  <si>
    <t>n/a</t>
  </si>
  <si>
    <r>
      <t>Cumulative Recoveries ($)</t>
    </r>
    <r>
      <rPr>
        <vertAlign val="superscript"/>
        <sz val="10"/>
        <rFont val="Arial"/>
        <family val="2"/>
      </rPr>
      <t xml:space="preserve"> b</t>
    </r>
  </si>
  <si>
    <t>Cumulative Recovery Rate (%)</t>
  </si>
  <si>
    <t>Cumulative Net Loss Rate (%)</t>
  </si>
  <si>
    <t>Servicer Reject Rate (FFELP) (%)</t>
  </si>
  <si>
    <t>Cumulative Servicer Reject Rate (FFELP) (%)</t>
  </si>
  <si>
    <t>a)      Repayment balance includes all repayment loans with the exception of balances in claim status</t>
  </si>
  <si>
    <t xml:space="preserve">(b) Cumulative Recoveries includes 97% of claims in progress balance. Cumulative Recoveries exclude borrowers that are included in Cumulative Defaults that became current prior to a claim being submitted. </t>
  </si>
  <si>
    <t>Waterfall Activity</t>
  </si>
  <si>
    <t>Waterfall for Distribution</t>
  </si>
  <si>
    <t>Amount Due</t>
  </si>
  <si>
    <t>Amount Remaining</t>
  </si>
  <si>
    <r>
      <t>First</t>
    </r>
    <r>
      <rPr>
        <sz val="10"/>
        <rFont val="Arial"/>
        <family val="2"/>
      </rPr>
      <t>: To the Department Reserve Fund</t>
    </r>
  </si>
  <si>
    <r>
      <t>Second</t>
    </r>
    <r>
      <rPr>
        <sz val="10"/>
        <rFont val="Arial"/>
        <family val="2"/>
      </rPr>
      <t>: Trustee Fees, Servicer Fees, Backup Servicer Fees, Administrator Fees</t>
    </r>
  </si>
  <si>
    <r>
      <t>Third</t>
    </r>
    <r>
      <rPr>
        <sz val="10"/>
        <rFont val="Arial"/>
        <family val="2"/>
      </rPr>
      <t>: Noteholder Interest</t>
    </r>
  </si>
  <si>
    <r>
      <t>Fourth</t>
    </r>
    <r>
      <rPr>
        <sz val="10"/>
        <rFont val="Arial"/>
        <family val="2"/>
      </rPr>
      <t>: Reserve Fund Repenishment</t>
    </r>
  </si>
  <si>
    <r>
      <t>Fifth</t>
    </r>
    <r>
      <rPr>
        <sz val="10"/>
        <rFont val="Arial"/>
        <family val="2"/>
      </rPr>
      <t>: Noteholder Principal</t>
    </r>
  </si>
  <si>
    <r>
      <t>Sixth</t>
    </r>
    <r>
      <rPr>
        <sz val="10"/>
        <rFont val="Arial"/>
        <family val="2"/>
      </rPr>
      <t>: Accelerated Payments to Noteholders until Paid in Full</t>
    </r>
  </si>
  <si>
    <r>
      <t>Seventh</t>
    </r>
    <r>
      <rPr>
        <sz val="10"/>
        <rFont val="Arial"/>
        <family val="2"/>
      </rPr>
      <t>: Releases to the Issuer</t>
    </r>
  </si>
  <si>
    <t>Principal and Interest Distributions</t>
  </si>
  <si>
    <t>Interest Shortfall</t>
  </si>
  <si>
    <t>Interest Carryover Due</t>
  </si>
  <si>
    <t>Interest Carryover Paid</t>
  </si>
  <si>
    <t>Interest Carryover</t>
  </si>
  <si>
    <t>Shortfall</t>
  </si>
  <si>
    <t>Total Distribution Amount</t>
  </si>
  <si>
    <t>Balance Sheet</t>
  </si>
  <si>
    <t>ASSETS</t>
  </si>
  <si>
    <t>Cash</t>
  </si>
  <si>
    <t>Assets Held by Trustee</t>
  </si>
  <si>
    <t xml:space="preserve">   Investments</t>
  </si>
  <si>
    <t xml:space="preserve">   Accrued Interest Receivable</t>
  </si>
  <si>
    <t>Other Receivables</t>
  </si>
  <si>
    <t>Prepaid and Deferred Expenses</t>
  </si>
  <si>
    <t>Interfund Receivables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</si>
  <si>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</si>
  <si>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</si>
  <si>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</si>
  <si>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</si>
  <si>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</si>
  <si>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</si>
  <si>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</si>
  <si>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</si>
  <si>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</si>
  <si>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>as of 12/31/2012</t>
  </si>
  <si>
    <t>Monthly Interest Due</t>
  </si>
  <si>
    <t>Monthly Interest Paid</t>
  </si>
  <si>
    <t>Monthly Principal Distribution Amount</t>
  </si>
  <si>
    <t>Monthly Principal Paid</t>
  </si>
  <si>
    <t>Class A</t>
  </si>
  <si>
    <t>Class B</t>
  </si>
  <si>
    <t>Sale Proceeds (SDC)</t>
  </si>
  <si>
    <t>Sherri Ballard</t>
  </si>
  <si>
    <t>865-824-3074</t>
  </si>
  <si>
    <t>sballard@edsouth.org</t>
  </si>
  <si>
    <t>www.edsouthservices.com</t>
  </si>
  <si>
    <t>B</t>
  </si>
  <si>
    <t>A</t>
  </si>
  <si>
    <t>EdsouthServices Indenture No. 3</t>
  </si>
  <si>
    <t>Other Amounts - transfer to DOE reserve</t>
  </si>
  <si>
    <t>1 Mo. LIBOR</t>
  </si>
  <si>
    <t>28137QAA7</t>
  </si>
  <si>
    <t>28137QAB5</t>
  </si>
  <si>
    <t xml:space="preserve">    Accrued Interest Subsidy Payments-Gov. Int.</t>
  </si>
  <si>
    <t xml:space="preserve">    Accrued  Interest Receivable on Loans-Borr. Int.</t>
  </si>
  <si>
    <t xml:space="preserve">   Student Loans Receivable</t>
  </si>
  <si>
    <t xml:space="preserve">      Net Student Loans</t>
  </si>
  <si>
    <t xml:space="preserve">   Discounts on Loans Purchased*</t>
  </si>
  <si>
    <t>LIABILITIES AND NET ASSETS</t>
  </si>
  <si>
    <t xml:space="preserve"> Please refer to the Balance Sheet and Parity section on the first page of this report for the parity calculation.</t>
  </si>
  <si>
    <t xml:space="preserve">*Discounts on Loans Purchased is an accounting adjustment to Gross Student Loan Receivables.  </t>
  </si>
  <si>
    <t>preliminary/unaudited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</si>
</sst>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_);_(* \(#,##0.0\);_(* &quot;-&quot;??_);_(@_)"/>
    <numFmt numFmtId="167" formatCode="_(* #,##0.0000_);_(* \(#,##0.0000\);_(* &quot;-&quot;??_);_(@_)"/>
    <numFmt numFmtId="168" formatCode="_(* #,##0.0000_);_(* \(#,##0.0000\);_(* &quot;-&quot;????_);_(@_)"/>
    <numFmt numFmtId="169" formatCode="mmmm\ d\,\ yyyy"/>
    <numFmt numFmtId="170" formatCode="_(&quot;$&quot;* #,##0_);_(&quot;$&quot;* \(#,##0\);_(&quot;$&quot;* &quot;-&quot;??_);_(@_)"/>
    <numFmt numFmtId="171" formatCode="0.00_)"/>
  </numFmts>
  <fonts count="1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6"/>
      <name val="Helv"/>
    </font>
    <font>
      <sz val="8"/>
      <color indexed="2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45" applyNumberFormat="0" applyFont="0" applyAlignment="0" applyProtection="0"/>
    <xf numFmtId="0" fontId="2" fillId="2" borderId="45" applyNumberFormat="0" applyFon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/>
    <xf numFmtId="0" fontId="1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10" fontId="3" fillId="0" borderId="10" xfId="3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0" borderId="12" xfId="3" applyNumberFormat="1" applyFont="1" applyBorder="1" applyAlignment="1">
      <alignment horizontal="center"/>
    </xf>
    <xf numFmtId="164" fontId="2" fillId="0" borderId="12" xfId="1" applyNumberFormat="1" applyFont="1" applyFill="1" applyBorder="1"/>
    <xf numFmtId="164" fontId="2" fillId="0" borderId="13" xfId="1" applyNumberFormat="1" applyFont="1" applyFill="1" applyBorder="1"/>
    <xf numFmtId="10" fontId="6" fillId="0" borderId="12" xfId="3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5" xfId="1" applyNumberFormat="1" applyFont="1" applyFill="1" applyBorder="1"/>
    <xf numFmtId="164" fontId="2" fillId="0" borderId="16" xfId="1" applyNumberFormat="1" applyFont="1" applyFill="1" applyBorder="1"/>
    <xf numFmtId="10" fontId="6" fillId="0" borderId="15" xfId="3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7" xfId="0" applyFont="1" applyBorder="1"/>
    <xf numFmtId="0" fontId="3" fillId="0" borderId="18" xfId="0" applyFont="1" applyFill="1" applyBorder="1"/>
    <xf numFmtId="0" fontId="2" fillId="0" borderId="19" xfId="0" applyFont="1" applyBorder="1"/>
    <xf numFmtId="10" fontId="2" fillId="0" borderId="19" xfId="3" applyNumberFormat="1" applyFont="1" applyBorder="1"/>
    <xf numFmtId="0" fontId="2" fillId="0" borderId="19" xfId="0" applyFont="1" applyBorder="1" applyAlignment="1">
      <alignment horizontal="center"/>
    </xf>
    <xf numFmtId="164" fontId="3" fillId="0" borderId="19" xfId="1" applyNumberFormat="1" applyFont="1" applyFill="1" applyBorder="1"/>
    <xf numFmtId="164" fontId="3" fillId="0" borderId="20" xfId="1" applyNumberFormat="1" applyFont="1" applyFill="1" applyBorder="1"/>
    <xf numFmtId="10" fontId="3" fillId="0" borderId="19" xfId="3" applyNumberFormat="1" applyFont="1" applyBorder="1" applyAlignment="1">
      <alignment horizontal="center"/>
    </xf>
    <xf numFmtId="10" fontId="3" fillId="0" borderId="21" xfId="3" applyNumberFormat="1" applyFont="1" applyBorder="1" applyAlignment="1">
      <alignment horizontal="center"/>
    </xf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3" fillId="0" borderId="9" xfId="0" applyFont="1" applyBorder="1"/>
    <xf numFmtId="0" fontId="2" fillId="0" borderId="0" xfId="0" applyFont="1" applyFill="1"/>
    <xf numFmtId="0" fontId="2" fillId="0" borderId="22" xfId="0" applyFont="1" applyFill="1" applyBorder="1"/>
    <xf numFmtId="0" fontId="2" fillId="0" borderId="23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0" xfId="0" applyFont="1"/>
    <xf numFmtId="0" fontId="2" fillId="0" borderId="22" xfId="0" applyFont="1" applyBorder="1"/>
    <xf numFmtId="0" fontId="2" fillId="0" borderId="23" xfId="0" applyFont="1" applyBorder="1"/>
    <xf numFmtId="43" fontId="2" fillId="0" borderId="12" xfId="2" applyNumberFormat="1" applyFont="1" applyBorder="1" applyAlignment="1">
      <alignment horizontal="right"/>
    </xf>
    <xf numFmtId="43" fontId="2" fillId="0" borderId="14" xfId="2" applyNumberFormat="1" applyFont="1" applyBorder="1" applyAlignment="1">
      <alignment horizontal="right"/>
    </xf>
    <xf numFmtId="0" fontId="2" fillId="0" borderId="17" xfId="0" applyFont="1" applyFill="1" applyBorder="1"/>
    <xf numFmtId="0" fontId="2" fillId="0" borderId="18" xfId="0" applyFont="1" applyFill="1" applyBorder="1"/>
    <xf numFmtId="0" fontId="3" fillId="0" borderId="19" xfId="0" applyFont="1" applyFill="1" applyBorder="1" applyAlignment="1">
      <alignment horizontal="center"/>
    </xf>
    <xf numFmtId="43" fontId="2" fillId="0" borderId="15" xfId="2" applyNumberFormat="1" applyFont="1" applyBorder="1" applyAlignment="1">
      <alignment horizontal="right"/>
    </xf>
    <xf numFmtId="10" fontId="2" fillId="0" borderId="28" xfId="1" applyNumberFormat="1" applyFont="1" applyFill="1" applyBorder="1" applyAlignment="1">
      <alignment horizontal="center"/>
    </xf>
    <xf numFmtId="0" fontId="3" fillId="0" borderId="0" xfId="0" applyFont="1" applyBorder="1"/>
    <xf numFmtId="43" fontId="3" fillId="0" borderId="15" xfId="2" applyNumberFormat="1" applyFont="1" applyBorder="1" applyAlignment="1">
      <alignment horizontal="right"/>
    </xf>
    <xf numFmtId="43" fontId="3" fillId="0" borderId="27" xfId="2" applyNumberFormat="1" applyFont="1" applyBorder="1" applyAlignment="1">
      <alignment horizontal="right"/>
    </xf>
    <xf numFmtId="43" fontId="2" fillId="0" borderId="15" xfId="0" applyNumberFormat="1" applyFont="1" applyBorder="1" applyAlignment="1">
      <alignment horizontal="right"/>
    </xf>
    <xf numFmtId="43" fontId="2" fillId="0" borderId="15" xfId="1" applyNumberFormat="1" applyFont="1" applyBorder="1" applyAlignment="1">
      <alignment horizontal="right"/>
    </xf>
    <xf numFmtId="43" fontId="2" fillId="0" borderId="27" xfId="0" applyNumberFormat="1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9" xfId="0" applyFont="1" applyFill="1" applyBorder="1"/>
    <xf numFmtId="0" fontId="2" fillId="0" borderId="10" xfId="0" applyFont="1" applyFill="1" applyBorder="1"/>
    <xf numFmtId="43" fontId="2" fillId="0" borderId="29" xfId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41" fontId="2" fillId="0" borderId="15" xfId="0" applyNumberFormat="1" applyFont="1" applyBorder="1" applyAlignment="1">
      <alignment horizontal="right"/>
    </xf>
    <xf numFmtId="41" fontId="2" fillId="0" borderId="27" xfId="0" applyNumberFormat="1" applyFont="1" applyBorder="1" applyAlignment="1">
      <alignment horizontal="right"/>
    </xf>
    <xf numFmtId="0" fontId="3" fillId="0" borderId="4" xfId="0" applyFont="1" applyFill="1" applyBorder="1"/>
    <xf numFmtId="10" fontId="3" fillId="0" borderId="28" xfId="1" applyNumberFormat="1" applyFont="1" applyFill="1" applyBorder="1"/>
    <xf numFmtId="0" fontId="2" fillId="0" borderId="18" xfId="0" applyFont="1" applyBorder="1"/>
    <xf numFmtId="43" fontId="2" fillId="0" borderId="19" xfId="0" applyNumberFormat="1" applyFont="1" applyBorder="1" applyAlignment="1">
      <alignment horizontal="right"/>
    </xf>
    <xf numFmtId="43" fontId="2" fillId="0" borderId="31" xfId="0" applyNumberFormat="1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43" fontId="2" fillId="0" borderId="15" xfId="1" applyFont="1" applyBorder="1"/>
    <xf numFmtId="164" fontId="2" fillId="0" borderId="5" xfId="1" applyNumberFormat="1" applyFont="1" applyBorder="1"/>
    <xf numFmtId="43" fontId="3" fillId="0" borderId="15" xfId="1" applyFont="1" applyBorder="1"/>
    <xf numFmtId="164" fontId="3" fillId="0" borderId="5" xfId="1" applyNumberFormat="1" applyFont="1" applyBorder="1"/>
    <xf numFmtId="0" fontId="2" fillId="0" borderId="15" xfId="0" applyFont="1" applyBorder="1"/>
    <xf numFmtId="43" fontId="2" fillId="0" borderId="15" xfId="0" applyNumberFormat="1" applyFont="1" applyBorder="1"/>
    <xf numFmtId="43" fontId="2" fillId="0" borderId="19" xfId="0" applyNumberFormat="1" applyFont="1" applyBorder="1"/>
    <xf numFmtId="0" fontId="2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3" xfId="0" applyFont="1" applyBorder="1"/>
    <xf numFmtId="0" fontId="2" fillId="0" borderId="12" xfId="0" applyFont="1" applyBorder="1"/>
    <xf numFmtId="43" fontId="2" fillId="0" borderId="12" xfId="0" applyNumberFormat="1" applyFont="1" applyBorder="1"/>
    <xf numFmtId="164" fontId="2" fillId="0" borderId="25" xfId="1" applyNumberFormat="1" applyFont="1" applyBorder="1"/>
    <xf numFmtId="10" fontId="2" fillId="0" borderId="14" xfId="0" applyNumberFormat="1" applyFont="1" applyBorder="1" applyAlignment="1">
      <alignment horizontal="center"/>
    </xf>
    <xf numFmtId="43" fontId="2" fillId="0" borderId="15" xfId="2" applyNumberFormat="1" applyFont="1" applyBorder="1"/>
    <xf numFmtId="10" fontId="2" fillId="0" borderId="31" xfId="0" applyNumberFormat="1" applyFont="1" applyBorder="1" applyAlignment="1">
      <alignment horizontal="center"/>
    </xf>
    <xf numFmtId="0" fontId="7" fillId="0" borderId="4" xfId="0" applyFont="1" applyFill="1" applyBorder="1"/>
    <xf numFmtId="0" fontId="3" fillId="0" borderId="0" xfId="0" applyFont="1" applyFill="1" applyBorder="1"/>
    <xf numFmtId="43" fontId="3" fillId="0" borderId="15" xfId="2" applyNumberFormat="1" applyFont="1" applyBorder="1"/>
    <xf numFmtId="0" fontId="2" fillId="0" borderId="10" xfId="0" applyFont="1" applyBorder="1"/>
    <xf numFmtId="0" fontId="3" fillId="0" borderId="11" xfId="0" applyFont="1" applyFill="1" applyBorder="1" applyAlignment="1">
      <alignment horizontal="center"/>
    </xf>
    <xf numFmtId="43" fontId="2" fillId="0" borderId="15" xfId="1" quotePrefix="1" applyNumberFormat="1" applyFont="1" applyBorder="1" applyAlignment="1">
      <alignment horizontal="right"/>
    </xf>
    <xf numFmtId="10" fontId="2" fillId="0" borderId="15" xfId="3" applyNumberFormat="1" applyFont="1" applyBorder="1" applyAlignment="1">
      <alignment horizontal="right"/>
    </xf>
    <xf numFmtId="164" fontId="2" fillId="0" borderId="15" xfId="1" quotePrefix="1" applyNumberFormat="1" applyFont="1" applyBorder="1" applyAlignment="1">
      <alignment horizontal="right"/>
    </xf>
    <xf numFmtId="43" fontId="2" fillId="0" borderId="14" xfId="1" quotePrefix="1" applyNumberFormat="1" applyFont="1" applyFill="1" applyBorder="1" applyAlignment="1">
      <alignment horizontal="right"/>
    </xf>
    <xf numFmtId="43" fontId="2" fillId="0" borderId="27" xfId="1" quotePrefix="1" applyNumberFormat="1" applyFont="1" applyFill="1" applyBorder="1" applyAlignment="1">
      <alignment horizontal="right"/>
    </xf>
    <xf numFmtId="10" fontId="2" fillId="0" borderId="21" xfId="3" applyNumberFormat="1" applyFont="1" applyBorder="1"/>
    <xf numFmtId="0" fontId="3" fillId="0" borderId="17" xfId="0" applyFont="1" applyBorder="1"/>
    <xf numFmtId="43" fontId="3" fillId="0" borderId="19" xfId="1" applyNumberFormat="1" applyFont="1" applyBorder="1" applyAlignment="1">
      <alignment horizontal="right"/>
    </xf>
    <xf numFmtId="10" fontId="2" fillId="0" borderId="19" xfId="3" applyNumberFormat="1" applyFont="1" applyBorder="1" applyAlignment="1">
      <alignment horizontal="right"/>
    </xf>
    <xf numFmtId="164" fontId="3" fillId="0" borderId="19" xfId="1" applyNumberFormat="1" applyFont="1" applyBorder="1" applyAlignment="1">
      <alignment horizontal="right"/>
    </xf>
    <xf numFmtId="43" fontId="3" fillId="0" borderId="31" xfId="1" applyNumberFormat="1" applyFont="1" applyFill="1" applyBorder="1" applyAlignment="1">
      <alignment horizontal="right"/>
    </xf>
    <xf numFmtId="0" fontId="3" fillId="0" borderId="34" xfId="0" applyFont="1" applyBorder="1"/>
    <xf numFmtId="43" fontId="3" fillId="0" borderId="32" xfId="1" applyNumberFormat="1" applyFont="1" applyBorder="1" applyAlignment="1">
      <alignment horizontal="center"/>
    </xf>
    <xf numFmtId="43" fontId="3" fillId="0" borderId="34" xfId="1" applyNumberFormat="1" applyFont="1" applyBorder="1" applyAlignment="1">
      <alignment horizontal="center"/>
    </xf>
    <xf numFmtId="10" fontId="2" fillId="0" borderId="15" xfId="0" applyNumberFormat="1" applyFont="1" applyBorder="1" applyAlignment="1">
      <alignment horizontal="right"/>
    </xf>
    <xf numFmtId="10" fontId="2" fillId="0" borderId="12" xfId="3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165" fontId="2" fillId="0" borderId="27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0" xfId="0" applyFont="1" applyFill="1" applyBorder="1"/>
    <xf numFmtId="0" fontId="6" fillId="0" borderId="0" xfId="0" applyFont="1" applyBorder="1"/>
    <xf numFmtId="41" fontId="6" fillId="0" borderId="15" xfId="0" applyNumberFormat="1" applyFont="1" applyBorder="1" applyAlignment="1">
      <alignment horizontal="right"/>
    </xf>
    <xf numFmtId="43" fontId="6" fillId="0" borderId="15" xfId="0" applyNumberFormat="1" applyFont="1" applyBorder="1" applyAlignment="1">
      <alignment horizontal="right"/>
    </xf>
    <xf numFmtId="10" fontId="6" fillId="0" borderId="15" xfId="0" applyNumberFormat="1" applyFont="1" applyBorder="1" applyAlignment="1">
      <alignment horizontal="right"/>
    </xf>
    <xf numFmtId="10" fontId="6" fillId="0" borderId="15" xfId="3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0" fontId="2" fillId="0" borderId="15" xfId="1" applyNumberFormat="1" applyFont="1" applyBorder="1" applyAlignment="1">
      <alignment horizontal="right"/>
    </xf>
    <xf numFmtId="0" fontId="3" fillId="0" borderId="18" xfId="0" applyFont="1" applyBorder="1"/>
    <xf numFmtId="0" fontId="3" fillId="0" borderId="20" xfId="0" applyFont="1" applyBorder="1"/>
    <xf numFmtId="41" fontId="3" fillId="0" borderId="19" xfId="1" applyNumberFormat="1" applyFont="1" applyBorder="1" applyAlignment="1">
      <alignment horizontal="right"/>
    </xf>
    <xf numFmtId="10" fontId="3" fillId="0" borderId="19" xfId="3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0" fontId="7" fillId="0" borderId="0" xfId="0" applyFont="1" applyFill="1" applyBorder="1"/>
    <xf numFmtId="10" fontId="7" fillId="0" borderId="0" xfId="3" applyNumberFormat="1" applyFont="1" applyBorder="1"/>
    <xf numFmtId="166" fontId="7" fillId="0" borderId="5" xfId="1" applyNumberFormat="1" applyFont="1" applyBorder="1"/>
    <xf numFmtId="0" fontId="2" fillId="0" borderId="35" xfId="0" applyFont="1" applyBorder="1"/>
    <xf numFmtId="43" fontId="3" fillId="0" borderId="32" xfId="1" applyFont="1" applyBorder="1" applyAlignment="1">
      <alignment horizontal="center"/>
    </xf>
    <xf numFmtId="43" fontId="3" fillId="0" borderId="34" xfId="1" applyFont="1" applyBorder="1" applyAlignment="1">
      <alignment horizontal="center"/>
    </xf>
    <xf numFmtId="41" fontId="2" fillId="0" borderId="15" xfId="1" applyNumberFormat="1" applyFont="1" applyBorder="1" applyAlignment="1">
      <alignment horizontal="right"/>
    </xf>
    <xf numFmtId="43" fontId="2" fillId="0" borderId="15" xfId="1" applyFont="1" applyBorder="1" applyAlignment="1">
      <alignment horizontal="right"/>
    </xf>
    <xf numFmtId="43" fontId="2" fillId="0" borderId="13" xfId="1" applyFont="1" applyBorder="1" applyAlignment="1">
      <alignment horizontal="right"/>
    </xf>
    <xf numFmtId="43" fontId="2" fillId="0" borderId="15" xfId="3" applyNumberFormat="1" applyFont="1" applyBorder="1" applyAlignment="1">
      <alignment horizontal="right"/>
    </xf>
    <xf numFmtId="43" fontId="2" fillId="0" borderId="14" xfId="1" applyNumberFormat="1" applyFont="1" applyBorder="1" applyAlignment="1">
      <alignment horizontal="right"/>
    </xf>
    <xf numFmtId="43" fontId="2" fillId="0" borderId="16" xfId="1" applyFont="1" applyBorder="1" applyAlignment="1">
      <alignment horizontal="right"/>
    </xf>
    <xf numFmtId="43" fontId="2" fillId="0" borderId="27" xfId="1" applyNumberFormat="1" applyFont="1" applyBorder="1" applyAlignment="1">
      <alignment horizontal="right"/>
    </xf>
    <xf numFmtId="43" fontId="2" fillId="0" borderId="28" xfId="3" applyNumberFormat="1" applyFont="1" applyBorder="1" applyAlignment="1">
      <alignment horizontal="right"/>
    </xf>
    <xf numFmtId="0" fontId="2" fillId="0" borderId="20" xfId="0" applyFont="1" applyBorder="1"/>
    <xf numFmtId="43" fontId="3" fillId="0" borderId="19" xfId="1" applyFont="1" applyBorder="1" applyAlignment="1">
      <alignment horizontal="right"/>
    </xf>
    <xf numFmtId="43" fontId="3" fillId="0" borderId="19" xfId="3" applyNumberFormat="1" applyFont="1" applyBorder="1" applyAlignment="1">
      <alignment horizontal="right"/>
    </xf>
    <xf numFmtId="43" fontId="3" fillId="0" borderId="26" xfId="3" applyNumberFormat="1" applyFont="1" applyBorder="1" applyAlignment="1">
      <alignment horizontal="right"/>
    </xf>
    <xf numFmtId="43" fontId="3" fillId="0" borderId="31" xfId="1" applyNumberFormat="1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7" fillId="0" borderId="23" xfId="0" applyFont="1" applyBorder="1"/>
    <xf numFmtId="10" fontId="7" fillId="0" borderId="23" xfId="3" applyNumberFormat="1" applyFont="1" applyBorder="1"/>
    <xf numFmtId="0" fontId="2" fillId="0" borderId="21" xfId="0" applyFont="1" applyBorder="1"/>
    <xf numFmtId="0" fontId="2" fillId="0" borderId="13" xfId="0" applyFont="1" applyBorder="1"/>
    <xf numFmtId="0" fontId="2" fillId="0" borderId="34" xfId="0" applyFont="1" applyBorder="1"/>
    <xf numFmtId="0" fontId="3" fillId="0" borderId="36" xfId="0" applyFont="1" applyFill="1" applyBorder="1" applyAlignment="1">
      <alignment horizontal="center"/>
    </xf>
    <xf numFmtId="10" fontId="2" fillId="0" borderId="14" xfId="1" applyNumberFormat="1" applyFont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16" xfId="0" applyFont="1" applyBorder="1"/>
    <xf numFmtId="10" fontId="2" fillId="0" borderId="27" xfId="1" applyNumberFormat="1" applyFont="1" applyBorder="1" applyAlignment="1">
      <alignment horizontal="right"/>
    </xf>
    <xf numFmtId="167" fontId="2" fillId="0" borderId="37" xfId="0" applyNumberFormat="1" applyFont="1" applyBorder="1" applyAlignment="1">
      <alignment horizontal="right"/>
    </xf>
    <xf numFmtId="168" fontId="2" fillId="0" borderId="27" xfId="0" applyNumberFormat="1" applyFont="1" applyFill="1" applyBorder="1" applyAlignment="1">
      <alignment horizontal="right"/>
    </xf>
    <xf numFmtId="10" fontId="3" fillId="0" borderId="31" xfId="1" applyNumberFormat="1" applyFont="1" applyBorder="1" applyAlignment="1">
      <alignment horizontal="right"/>
    </xf>
    <xf numFmtId="167" fontId="3" fillId="0" borderId="31" xfId="0" applyNumberFormat="1" applyFont="1" applyFill="1" applyBorder="1" applyAlignment="1">
      <alignment horizontal="right"/>
    </xf>
    <xf numFmtId="0" fontId="7" fillId="0" borderId="22" xfId="0" applyFont="1" applyBorder="1"/>
    <xf numFmtId="0" fontId="4" fillId="0" borderId="23" xfId="0" applyFont="1" applyBorder="1"/>
    <xf numFmtId="0" fontId="4" fillId="0" borderId="25" xfId="0" applyFont="1" applyBorder="1"/>
    <xf numFmtId="0" fontId="4" fillId="0" borderId="0" xfId="0" applyFont="1"/>
    <xf numFmtId="0" fontId="4" fillId="0" borderId="0" xfId="0" applyFont="1" applyBorder="1"/>
    <xf numFmtId="0" fontId="4" fillId="0" borderId="5" xfId="0" applyFont="1" applyBorder="1"/>
    <xf numFmtId="0" fontId="4" fillId="0" borderId="0" xfId="0" applyFont="1" applyFill="1" applyBorder="1" applyAlignment="1">
      <alignment vertical="center" wrapText="1"/>
    </xf>
    <xf numFmtId="0" fontId="9" fillId="0" borderId="38" xfId="0" applyFont="1" applyBorder="1"/>
    <xf numFmtId="0" fontId="0" fillId="0" borderId="35" xfId="0" applyBorder="1"/>
    <xf numFmtId="0" fontId="0" fillId="0" borderId="4" xfId="0" applyBorder="1"/>
    <xf numFmtId="0" fontId="0" fillId="0" borderId="0" xfId="0" applyBorder="1"/>
    <xf numFmtId="0" fontId="9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1" xfId="0" applyFont="1" applyBorder="1"/>
    <xf numFmtId="0" fontId="3" fillId="0" borderId="4" xfId="0" applyFont="1" applyBorder="1"/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0" xfId="0" applyFill="1"/>
    <xf numFmtId="0" fontId="3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43" fontId="0" fillId="0" borderId="5" xfId="0" applyNumberFormat="1" applyFill="1" applyBorder="1"/>
    <xf numFmtId="0" fontId="2" fillId="0" borderId="4" xfId="4" applyFont="1" applyFill="1" applyBorder="1"/>
    <xf numFmtId="43" fontId="0" fillId="0" borderId="5" xfId="0" applyNumberFormat="1" applyFill="1" applyBorder="1" applyAlignment="1">
      <alignment horizontal="right"/>
    </xf>
    <xf numFmtId="0" fontId="2" fillId="0" borderId="4" xfId="4" applyFill="1" applyBorder="1"/>
    <xf numFmtId="10" fontId="0" fillId="0" borderId="5" xfId="3" applyNumberFormat="1" applyFont="1" applyFill="1" applyBorder="1" applyAlignment="1">
      <alignment horizontal="right"/>
    </xf>
    <xf numFmtId="10" fontId="3" fillId="0" borderId="5" xfId="3" applyNumberFormat="1" applyFont="1" applyFill="1" applyBorder="1" applyAlignment="1">
      <alignment horizontal="right"/>
    </xf>
    <xf numFmtId="44" fontId="3" fillId="0" borderId="5" xfId="2" applyFont="1" applyFill="1" applyBorder="1" applyAlignment="1">
      <alignment horizontal="right"/>
    </xf>
    <xf numFmtId="0" fontId="11" fillId="0" borderId="0" xfId="0" applyFont="1" applyBorder="1"/>
    <xf numFmtId="0" fontId="3" fillId="0" borderId="4" xfId="4" applyFont="1" applyFill="1" applyBorder="1"/>
    <xf numFmtId="0" fontId="0" fillId="0" borderId="18" xfId="0" applyFill="1" applyBorder="1"/>
    <xf numFmtId="0" fontId="7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1" xfId="5" applyFont="1" applyFill="1" applyBorder="1"/>
    <xf numFmtId="0" fontId="3" fillId="0" borderId="2" xfId="5" applyFont="1" applyFill="1" applyBorder="1"/>
    <xf numFmtId="43" fontId="0" fillId="0" borderId="5" xfId="3" applyNumberFormat="1" applyFont="1" applyFill="1" applyBorder="1" applyAlignment="1">
      <alignment horizontal="right"/>
    </xf>
    <xf numFmtId="0" fontId="3" fillId="0" borderId="17" xfId="5" applyFont="1" applyFill="1" applyBorder="1"/>
    <xf numFmtId="0" fontId="3" fillId="0" borderId="18" xfId="5" applyFont="1" applyFill="1" applyBorder="1"/>
    <xf numFmtId="0" fontId="7" fillId="0" borderId="22" xfId="5" applyFont="1" applyFill="1" applyBorder="1"/>
    <xf numFmtId="0" fontId="3" fillId="0" borderId="23" xfId="5" applyFont="1" applyFill="1" applyBorder="1"/>
    <xf numFmtId="0" fontId="2" fillId="0" borderId="23" xfId="5" applyFill="1" applyBorder="1"/>
    <xf numFmtId="0" fontId="2" fillId="0" borderId="25" xfId="5" applyFill="1" applyBorder="1"/>
    <xf numFmtId="0" fontId="0" fillId="0" borderId="40" xfId="0" applyBorder="1"/>
    <xf numFmtId="0" fontId="3" fillId="0" borderId="18" xfId="0" applyFont="1" applyBorder="1" applyAlignment="1">
      <alignment horizontal="right"/>
    </xf>
    <xf numFmtId="0" fontId="0" fillId="0" borderId="18" xfId="0" applyBorder="1"/>
    <xf numFmtId="0" fontId="3" fillId="0" borderId="21" xfId="0" applyFont="1" applyBorder="1" applyAlignment="1">
      <alignment horizontal="right"/>
    </xf>
    <xf numFmtId="0" fontId="0" fillId="0" borderId="15" xfId="0" applyBorder="1"/>
    <xf numFmtId="0" fontId="0" fillId="0" borderId="43" xfId="0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9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170" fontId="2" fillId="0" borderId="0" xfId="2" applyNumberFormat="1" applyFont="1" applyAlignment="1">
      <alignment horizontal="right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164" fontId="2" fillId="0" borderId="23" xfId="1" applyNumberFormat="1" applyFont="1" applyBorder="1" applyAlignment="1" applyProtection="1">
      <alignment horizontal="fill"/>
      <protection locked="0"/>
    </xf>
    <xf numFmtId="170" fontId="3" fillId="0" borderId="44" xfId="2" applyNumberFormat="1" applyFont="1" applyBorder="1" applyAlignment="1">
      <alignment horizontal="right"/>
    </xf>
    <xf numFmtId="164" fontId="0" fillId="0" borderId="0" xfId="0" applyNumberFormat="1"/>
    <xf numFmtId="10" fontId="2" fillId="0" borderId="0" xfId="3" applyNumberFormat="1" applyFont="1"/>
    <xf numFmtId="164" fontId="2" fillId="0" borderId="0" xfId="1" applyNumberFormat="1" applyFont="1" applyAlignment="1" applyProtection="1">
      <alignment horizontal="fill"/>
      <protection locked="0"/>
    </xf>
    <xf numFmtId="164" fontId="2" fillId="0" borderId="18" xfId="1" applyNumberFormat="1" applyFont="1" applyBorder="1" applyAlignment="1">
      <alignment horizontal="right"/>
    </xf>
    <xf numFmtId="43" fontId="0" fillId="0" borderId="0" xfId="1" applyFont="1" applyBorder="1"/>
    <xf numFmtId="43" fontId="0" fillId="0" borderId="5" xfId="1" applyFont="1" applyBorder="1"/>
    <xf numFmtId="43" fontId="4" fillId="0" borderId="0" xfId="1" applyFont="1"/>
    <xf numFmtId="43" fontId="0" fillId="0" borderId="7" xfId="1" applyFont="1" applyBorder="1"/>
    <xf numFmtId="43" fontId="0" fillId="0" borderId="8" xfId="1" applyFont="1" applyBorder="1"/>
    <xf numFmtId="43" fontId="0" fillId="0" borderId="0" xfId="1" applyFont="1"/>
    <xf numFmtId="43" fontId="0" fillId="0" borderId="15" xfId="0" applyNumberFormat="1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43" fontId="0" fillId="0" borderId="15" xfId="1" applyFont="1" applyBorder="1"/>
    <xf numFmtId="43" fontId="0" fillId="0" borderId="5" xfId="0" applyNumberFormat="1" applyBorder="1"/>
    <xf numFmtId="10" fontId="3" fillId="0" borderId="8" xfId="0" applyNumberFormat="1" applyFont="1" applyFill="1" applyBorder="1" applyAlignment="1">
      <alignment horizontal="right"/>
    </xf>
    <xf numFmtId="43" fontId="0" fillId="0" borderId="21" xfId="1" applyFont="1" applyBorder="1"/>
    <xf numFmtId="43" fontId="0" fillId="0" borderId="39" xfId="1" applyFont="1" applyBorder="1"/>
    <xf numFmtId="0" fontId="15" fillId="0" borderId="0" xfId="4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43" fontId="0" fillId="0" borderId="5" xfId="1" applyFont="1" applyFill="1" applyBorder="1"/>
    <xf numFmtId="164" fontId="2" fillId="0" borderId="12" xfId="1" applyNumberFormat="1" applyFont="1" applyFill="1" applyBorder="1" applyAlignment="1">
      <alignment horizontal="center"/>
    </xf>
    <xf numFmtId="10" fontId="2" fillId="0" borderId="28" xfId="3" applyNumberFormat="1" applyFont="1" applyBorder="1" applyAlignment="1">
      <alignment horizontal="center"/>
    </xf>
    <xf numFmtId="164" fontId="2" fillId="0" borderId="16" xfId="1" applyNumberFormat="1" applyFont="1" applyFill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43" fontId="2" fillId="0" borderId="28" xfId="2" applyNumberFormat="1" applyFont="1" applyBorder="1" applyAlignment="1">
      <alignment horizontal="right"/>
    </xf>
    <xf numFmtId="43" fontId="2" fillId="0" borderId="5" xfId="2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43" fontId="2" fillId="0" borderId="12" xfId="1" applyFont="1" applyBorder="1" applyAlignment="1">
      <alignment horizontal="center"/>
    </xf>
    <xf numFmtId="43" fontId="2" fillId="0" borderId="5" xfId="1" applyFont="1" applyBorder="1"/>
    <xf numFmtId="43" fontId="2" fillId="0" borderId="15" xfId="1" applyFont="1" applyBorder="1" applyAlignment="1">
      <alignment horizontal="center"/>
    </xf>
    <xf numFmtId="43" fontId="3" fillId="0" borderId="15" xfId="0" applyNumberFormat="1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43" fontId="3" fillId="0" borderId="15" xfId="0" applyNumberFormat="1" applyFont="1" applyBorder="1"/>
    <xf numFmtId="43" fontId="3" fillId="0" borderId="5" xfId="1" applyFont="1" applyBorder="1"/>
    <xf numFmtId="10" fontId="2" fillId="0" borderId="19" xfId="0" applyNumberFormat="1" applyFont="1" applyBorder="1" applyAlignment="1">
      <alignment horizontal="right"/>
    </xf>
    <xf numFmtId="41" fontId="3" fillId="0" borderId="20" xfId="1" applyNumberFormat="1" applyFont="1" applyBorder="1" applyAlignment="1">
      <alignment horizontal="right"/>
    </xf>
    <xf numFmtId="164" fontId="2" fillId="0" borderId="23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6" fillId="0" borderId="7" xfId="41" applyFont="1" applyBorder="1" applyAlignment="1" applyProtection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" fontId="2" fillId="0" borderId="28" xfId="3" applyNumberFormat="1" applyFont="1" applyFill="1" applyBorder="1" applyAlignment="1">
      <alignment horizontal="center"/>
    </xf>
    <xf numFmtId="2" fontId="2" fillId="0" borderId="0" xfId="3" applyNumberFormat="1" applyFont="1" applyFill="1" applyBorder="1" applyAlignment="1">
      <alignment horizontal="center"/>
    </xf>
    <xf numFmtId="2" fontId="2" fillId="0" borderId="5" xfId="3" applyNumberFormat="1" applyFont="1" applyFill="1" applyBorder="1" applyAlignment="1">
      <alignment horizontal="center"/>
    </xf>
    <xf numFmtId="10" fontId="3" fillId="0" borderId="29" xfId="3" applyNumberFormat="1" applyFont="1" applyFill="1" applyBorder="1" applyAlignment="1">
      <alignment horizontal="center"/>
    </xf>
    <xf numFmtId="10" fontId="3" fillId="0" borderId="10" xfId="3" applyNumberFormat="1" applyFont="1" applyFill="1" applyBorder="1" applyAlignment="1">
      <alignment horizontal="center"/>
    </xf>
    <xf numFmtId="10" fontId="3" fillId="0" borderId="11" xfId="3" applyNumberFormat="1" applyFont="1" applyFill="1" applyBorder="1" applyAlignment="1">
      <alignment horizontal="center"/>
    </xf>
    <xf numFmtId="2" fontId="2" fillId="0" borderId="28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>
      <alignment horizontal="center"/>
    </xf>
    <xf numFmtId="2" fontId="3" fillId="0" borderId="30" xfId="3" applyNumberFormat="1" applyFont="1" applyFill="1" applyBorder="1" applyAlignment="1">
      <alignment horizontal="center"/>
    </xf>
    <xf numFmtId="2" fontId="3" fillId="0" borderId="7" xfId="3" applyNumberFormat="1" applyFont="1" applyFill="1" applyBorder="1" applyAlignment="1">
      <alignment horizontal="center"/>
    </xf>
    <xf numFmtId="2" fontId="3" fillId="0" borderId="8" xfId="3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4" xfId="5" applyFont="1" applyFill="1" applyBorder="1" applyAlignment="1">
      <alignment horizontal="left" wrapText="1"/>
    </xf>
    <xf numFmtId="0" fontId="7" fillId="0" borderId="0" xfId="5" applyFont="1" applyFill="1" applyBorder="1" applyAlignment="1">
      <alignment horizontal="left" wrapText="1"/>
    </xf>
    <xf numFmtId="0" fontId="7" fillId="0" borderId="5" xfId="5" applyFont="1" applyFill="1" applyBorder="1" applyAlignment="1">
      <alignment horizontal="left" wrapText="1"/>
    </xf>
    <xf numFmtId="0" fontId="7" fillId="0" borderId="6" xfId="5" applyFont="1" applyFill="1" applyBorder="1" applyAlignment="1">
      <alignment horizontal="left" wrapText="1"/>
    </xf>
    <xf numFmtId="0" fontId="7" fillId="0" borderId="7" xfId="5" applyFont="1" applyFill="1" applyBorder="1" applyAlignment="1">
      <alignment horizontal="left" wrapText="1"/>
    </xf>
    <xf numFmtId="0" fontId="7" fillId="0" borderId="8" xfId="5" applyFont="1" applyFill="1" applyBorder="1" applyAlignment="1">
      <alignment horizontal="left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42">
    <cellStyle name="Comma" xfId="1" builtinId="3"/>
    <cellStyle name="Comma 2" xfId="6"/>
    <cellStyle name="Comma 3" xfId="7"/>
    <cellStyle name="Currency" xfId="2" builtinId="4"/>
    <cellStyle name="Hyperlink" xfId="41" builtinId="8"/>
    <cellStyle name="Normal" xfId="0" builtinId="0"/>
    <cellStyle name="Normal - Style1" xfId="8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9"/>
    <cellStyle name="Normal 20" xfId="20"/>
    <cellStyle name="Normal 21" xfId="21"/>
    <cellStyle name="Normal 22" xfId="22"/>
    <cellStyle name="Normal 23" xfId="4"/>
    <cellStyle name="Normal 24" xfId="5"/>
    <cellStyle name="Normal 25" xfId="23"/>
    <cellStyle name="Normal 26" xfId="24"/>
    <cellStyle name="Normal 27" xfId="25"/>
    <cellStyle name="Normal 28" xfId="26"/>
    <cellStyle name="Normal 29" xfId="27"/>
    <cellStyle name="Normal 3" xfId="28"/>
    <cellStyle name="Normal 30" xfId="29"/>
    <cellStyle name="Normal 31" xfId="30"/>
    <cellStyle name="Normal 4" xfId="31"/>
    <cellStyle name="Normal 5" xfId="32"/>
    <cellStyle name="Normal 6" xfId="33"/>
    <cellStyle name="Normal 7" xfId="34"/>
    <cellStyle name="Normal 8" xfId="35"/>
    <cellStyle name="Normal 9" xfId="36"/>
    <cellStyle name="Note 2" xfId="37"/>
    <cellStyle name="Note 3" xfId="38"/>
    <cellStyle name="Percent" xfId="3" builtinId="5"/>
    <cellStyle name="Percent 2" xfId="39"/>
    <cellStyle name="Percent 3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37</xdr:row>
      <xdr:rowOff>0</xdr:rowOff>
    </xdr:from>
    <xdr:to>
      <xdr:col>8</xdr:col>
      <xdr:colOff>419100</xdr:colOff>
      <xdr:row>37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16200000">
          <a:off x="8658225" y="5734050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419100</xdr:colOff>
      <xdr:row>27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16200000">
          <a:off x="8658225" y="4105275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419100</xdr:colOff>
      <xdr:row>29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16200000">
          <a:off x="8658225" y="4429125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11</xdr:col>
      <xdr:colOff>38100</xdr:colOff>
      <xdr:row>164</xdr:row>
      <xdr:rowOff>0</xdr:rowOff>
    </xdr:from>
    <xdr:to>
      <xdr:col>11</xdr:col>
      <xdr:colOff>419100</xdr:colOff>
      <xdr:row>164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16200000">
          <a:off x="12096750" y="25050750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11</xdr:col>
      <xdr:colOff>38100</xdr:colOff>
      <xdr:row>165</xdr:row>
      <xdr:rowOff>0</xdr:rowOff>
    </xdr:from>
    <xdr:to>
      <xdr:col>11</xdr:col>
      <xdr:colOff>419100</xdr:colOff>
      <xdr:row>165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16200000">
          <a:off x="12096750" y="25212675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15</xdr:col>
      <xdr:colOff>38100</xdr:colOff>
      <xdr:row>122</xdr:row>
      <xdr:rowOff>0</xdr:rowOff>
    </xdr:from>
    <xdr:to>
      <xdr:col>15</xdr:col>
      <xdr:colOff>419100</xdr:colOff>
      <xdr:row>122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16200000">
          <a:off x="16725900" y="18688050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theme="7" tint="-0.249977111117893"/>
    <pageSetUpPr fitToPage="1"/>
  </sheetPr>
  <dimension ref="A1:O163"/>
  <sheetViews>
    <sheetView showGridLines="0" tabSelected="1" zoomScale="80" zoomScaleNormal="80" workbookViewId="0">
      <selection activeCell="K8" sqref="K8"/>
    </sheetView>
  </sheetViews>
  <sheetFormatPr defaultRowHeight="12.75" x14ac:dyDescent="0.2"/>
  <cols>
    <col min="1" max="1" width="3" style="2" customWidth="1"/>
    <col min="2" max="2" width="13.85546875" style="2" customWidth="1"/>
    <col min="3" max="5" width="16.42578125" style="2" customWidth="1"/>
    <col min="6" max="6" width="20.5703125" style="2" bestFit="1" customWidth="1"/>
    <col min="7" max="7" width="19.140625" style="2" customWidth="1"/>
    <col min="8" max="8" width="20.5703125" style="2" bestFit="1" customWidth="1"/>
    <col min="9" max="9" width="18.7109375" style="2" bestFit="1" customWidth="1"/>
    <col min="10" max="11" width="16.42578125" style="2" customWidth="1"/>
    <col min="12" max="12" width="18.7109375" style="2" bestFit="1" customWidth="1"/>
    <col min="13" max="14" width="16.42578125" style="2" customWidth="1"/>
    <col min="15" max="15" width="17.85546875" style="2" bestFit="1" customWidth="1"/>
    <col min="16" max="20" width="15.85546875" style="2" customWidth="1"/>
    <col min="21" max="16384" width="9.140625" style="2"/>
  </cols>
  <sheetData>
    <row r="1" spans="1:13" ht="15.75" x14ac:dyDescent="0.25">
      <c r="A1" s="1" t="s">
        <v>0</v>
      </c>
    </row>
    <row r="2" spans="1:13" ht="15.75" x14ac:dyDescent="0.25">
      <c r="A2" s="1" t="s">
        <v>1</v>
      </c>
    </row>
    <row r="3" spans="1:13" ht="13.5" thickBot="1" x14ac:dyDescent="0.25"/>
    <row r="4" spans="1:13" x14ac:dyDescent="0.2">
      <c r="B4" s="293" t="s">
        <v>2</v>
      </c>
      <c r="C4" s="294"/>
      <c r="D4" s="295" t="s">
        <v>3</v>
      </c>
      <c r="E4" s="295"/>
      <c r="F4" s="295"/>
      <c r="G4" s="296"/>
      <c r="I4" s="297"/>
      <c r="J4" s="297"/>
    </row>
    <row r="5" spans="1:13" x14ac:dyDescent="0.2">
      <c r="B5" s="287" t="s">
        <v>4</v>
      </c>
      <c r="C5" s="288"/>
      <c r="D5" s="290" t="s">
        <v>5</v>
      </c>
      <c r="E5" s="290"/>
      <c r="F5" s="290"/>
      <c r="G5" s="291"/>
      <c r="I5" s="297"/>
      <c r="J5" s="297"/>
      <c r="L5" s="286"/>
      <c r="M5" s="286"/>
    </row>
    <row r="6" spans="1:13" x14ac:dyDescent="0.2">
      <c r="B6" s="287" t="s">
        <v>6</v>
      </c>
      <c r="C6" s="288"/>
      <c r="D6" s="289">
        <v>41299</v>
      </c>
      <c r="E6" s="290"/>
      <c r="F6" s="290"/>
      <c r="G6" s="291"/>
      <c r="I6" s="297"/>
      <c r="J6" s="297"/>
      <c r="L6" s="286"/>
      <c r="M6" s="286"/>
    </row>
    <row r="7" spans="1:13" x14ac:dyDescent="0.2">
      <c r="B7" s="287" t="s">
        <v>7</v>
      </c>
      <c r="C7" s="288"/>
      <c r="D7" s="289">
        <v>41274</v>
      </c>
      <c r="E7" s="289"/>
      <c r="F7" s="289"/>
      <c r="G7" s="292"/>
      <c r="L7" s="286"/>
      <c r="M7" s="286"/>
    </row>
    <row r="8" spans="1:13" x14ac:dyDescent="0.2">
      <c r="B8" s="287" t="s">
        <v>8</v>
      </c>
      <c r="C8" s="288"/>
      <c r="D8" s="290" t="s">
        <v>209</v>
      </c>
      <c r="E8" s="290"/>
      <c r="F8" s="290"/>
      <c r="G8" s="291"/>
    </row>
    <row r="9" spans="1:13" x14ac:dyDescent="0.2">
      <c r="B9" s="287" t="s">
        <v>9</v>
      </c>
      <c r="C9" s="288"/>
      <c r="D9" s="290" t="s">
        <v>210</v>
      </c>
      <c r="E9" s="290"/>
      <c r="F9" s="290"/>
      <c r="G9" s="291"/>
    </row>
    <row r="10" spans="1:13" x14ac:dyDescent="0.2">
      <c r="B10" s="3" t="s">
        <v>10</v>
      </c>
      <c r="C10" s="4"/>
      <c r="D10" s="263" t="s">
        <v>211</v>
      </c>
      <c r="E10" s="5"/>
      <c r="F10" s="5"/>
      <c r="G10" s="6"/>
    </row>
    <row r="11" spans="1:13" ht="13.5" thickBot="1" x14ac:dyDescent="0.25">
      <c r="B11" s="298" t="s">
        <v>11</v>
      </c>
      <c r="C11" s="299"/>
      <c r="D11" s="300" t="s">
        <v>212</v>
      </c>
      <c r="E11" s="301"/>
      <c r="F11" s="301"/>
      <c r="G11" s="302"/>
    </row>
    <row r="12" spans="1:13" x14ac:dyDescent="0.2">
      <c r="B12" s="7"/>
      <c r="C12" s="7"/>
    </row>
    <row r="13" spans="1:13" ht="13.5" thickBot="1" x14ac:dyDescent="0.25"/>
    <row r="14" spans="1:13" ht="15.75" x14ac:dyDescent="0.25">
      <c r="A14" s="8" t="s">
        <v>12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3" ht="6.75" customHeight="1" x14ac:dyDescent="0.2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13"/>
    </row>
    <row r="16" spans="1:13" x14ac:dyDescent="0.2">
      <c r="A16" s="14"/>
      <c r="B16" s="15" t="s">
        <v>13</v>
      </c>
      <c r="C16" s="16" t="s">
        <v>14</v>
      </c>
      <c r="D16" s="17" t="s">
        <v>15</v>
      </c>
      <c r="E16" s="16" t="s">
        <v>16</v>
      </c>
      <c r="F16" s="18" t="s">
        <v>17</v>
      </c>
      <c r="G16" s="18" t="s">
        <v>18</v>
      </c>
      <c r="H16" s="18" t="s">
        <v>19</v>
      </c>
      <c r="I16" s="18" t="s">
        <v>20</v>
      </c>
      <c r="J16" s="18" t="s">
        <v>21</v>
      </c>
      <c r="K16" s="16" t="s">
        <v>22</v>
      </c>
      <c r="L16" s="19" t="s">
        <v>23</v>
      </c>
    </row>
    <row r="17" spans="1:15" x14ac:dyDescent="0.2">
      <c r="A17" s="12"/>
      <c r="B17" s="7" t="s">
        <v>214</v>
      </c>
      <c r="C17" s="20" t="s">
        <v>218</v>
      </c>
      <c r="D17" s="21">
        <v>7.3000000000000001E-3</v>
      </c>
      <c r="E17" s="20" t="s">
        <v>217</v>
      </c>
      <c r="F17" s="268">
        <v>462000000</v>
      </c>
      <c r="G17" s="22">
        <v>462000000</v>
      </c>
      <c r="H17" s="22">
        <v>1213634.75</v>
      </c>
      <c r="I17" s="23">
        <f>7673144.81+482035.61</f>
        <v>8155180.4199999999</v>
      </c>
      <c r="J17" s="22">
        <f>G17-I17</f>
        <v>453844819.57999998</v>
      </c>
      <c r="K17" s="24">
        <v>0.98</v>
      </c>
      <c r="L17" s="271">
        <v>50885</v>
      </c>
    </row>
    <row r="18" spans="1:15" x14ac:dyDescent="0.2">
      <c r="A18" s="12"/>
      <c r="B18" s="7" t="s">
        <v>213</v>
      </c>
      <c r="C18" s="25" t="s">
        <v>219</v>
      </c>
      <c r="D18" s="269">
        <v>3.5000000000000003E-2</v>
      </c>
      <c r="E18" s="25" t="s">
        <v>217</v>
      </c>
      <c r="F18" s="270">
        <v>9200000</v>
      </c>
      <c r="G18" s="26">
        <v>9200000</v>
      </c>
      <c r="H18" s="26">
        <v>88586.07</v>
      </c>
      <c r="I18" s="27">
        <v>0</v>
      </c>
      <c r="J18" s="26">
        <f>G18-I18</f>
        <v>9200000</v>
      </c>
      <c r="K18" s="28">
        <v>0.02</v>
      </c>
      <c r="L18" s="272">
        <v>54173</v>
      </c>
    </row>
    <row r="19" spans="1:15" x14ac:dyDescent="0.2">
      <c r="A19" s="30"/>
      <c r="B19" s="31" t="s">
        <v>24</v>
      </c>
      <c r="C19" s="32"/>
      <c r="D19" s="33"/>
      <c r="E19" s="34"/>
      <c r="F19" s="35">
        <f>SUM(F17:F18)</f>
        <v>471200000</v>
      </c>
      <c r="G19" s="35">
        <f>SUM(G17:G18)</f>
        <v>471200000</v>
      </c>
      <c r="H19" s="35">
        <f>SUM(H17:H18)</f>
        <v>1302220.82</v>
      </c>
      <c r="I19" s="36"/>
      <c r="J19" s="35">
        <f>SUM(J17:J18)</f>
        <v>463044819.57999998</v>
      </c>
      <c r="K19" s="37"/>
      <c r="L19" s="38"/>
    </row>
    <row r="20" spans="1:15" s="42" customFormat="1" ht="11.25" x14ac:dyDescent="0.2">
      <c r="A20" s="39" t="s">
        <v>25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1"/>
    </row>
    <row r="21" spans="1:15" s="42" customFormat="1" ht="11.25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</row>
    <row r="22" spans="1:15" ht="6.75" customHeight="1" thickBot="1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</row>
    <row r="23" spans="1:15" ht="13.5" thickBot="1" x14ac:dyDescent="0.25"/>
    <row r="24" spans="1:15" ht="15.75" x14ac:dyDescent="0.25">
      <c r="A24" s="8" t="s">
        <v>26</v>
      </c>
      <c r="B24" s="9"/>
      <c r="C24" s="10"/>
      <c r="D24" s="10"/>
      <c r="E24" s="10"/>
      <c r="F24" s="10"/>
      <c r="G24" s="10"/>
      <c r="H24" s="11"/>
      <c r="J24" s="46" t="s">
        <v>27</v>
      </c>
      <c r="K24" s="47"/>
      <c r="L24" s="47"/>
      <c r="M24" s="47"/>
      <c r="N24" s="47"/>
      <c r="O24" s="48"/>
    </row>
    <row r="25" spans="1:15" ht="6.75" customHeight="1" x14ac:dyDescent="0.2">
      <c r="A25" s="12"/>
      <c r="B25" s="7"/>
      <c r="C25" s="7"/>
      <c r="D25" s="7"/>
      <c r="E25" s="7"/>
      <c r="F25" s="7"/>
      <c r="G25" s="7"/>
      <c r="H25" s="13"/>
      <c r="J25" s="49"/>
      <c r="K25" s="50"/>
      <c r="L25" s="50"/>
      <c r="M25" s="50"/>
      <c r="N25" s="50"/>
      <c r="O25" s="51"/>
    </row>
    <row r="26" spans="1:15" s="57" customFormat="1" ht="12.75" customHeight="1" x14ac:dyDescent="0.2">
      <c r="A26" s="52"/>
      <c r="B26" s="15"/>
      <c r="C26" s="15"/>
      <c r="D26" s="15"/>
      <c r="E26" s="15"/>
      <c r="F26" s="16" t="s">
        <v>28</v>
      </c>
      <c r="G26" s="16" t="s">
        <v>29</v>
      </c>
      <c r="H26" s="19" t="s">
        <v>30</v>
      </c>
      <c r="I26" s="53"/>
      <c r="J26" s="54"/>
      <c r="K26" s="55"/>
      <c r="L26" s="56" t="s">
        <v>31</v>
      </c>
      <c r="M26" s="312" t="s">
        <v>32</v>
      </c>
      <c r="N26" s="313"/>
      <c r="O26" s="314"/>
    </row>
    <row r="27" spans="1:15" x14ac:dyDescent="0.2">
      <c r="A27" s="58"/>
      <c r="B27" s="59" t="s">
        <v>33</v>
      </c>
      <c r="C27" s="59"/>
      <c r="D27" s="59"/>
      <c r="E27" s="59"/>
      <c r="F27" s="60">
        <v>0</v>
      </c>
      <c r="G27" s="60">
        <f>H27-F27</f>
        <v>452194562.94</v>
      </c>
      <c r="H27" s="61">
        <v>452194562.94</v>
      </c>
      <c r="I27" s="53"/>
      <c r="J27" s="62"/>
      <c r="K27" s="63"/>
      <c r="L27" s="64"/>
      <c r="M27" s="315" t="s">
        <v>34</v>
      </c>
      <c r="N27" s="316"/>
      <c r="O27" s="317"/>
    </row>
    <row r="28" spans="1:15" x14ac:dyDescent="0.2">
      <c r="A28" s="12"/>
      <c r="B28" s="7" t="s">
        <v>35</v>
      </c>
      <c r="C28" s="7"/>
      <c r="D28" s="7"/>
      <c r="E28" s="7"/>
      <c r="F28" s="273">
        <v>0</v>
      </c>
      <c r="G28" s="65">
        <f t="shared" ref="G28:G29" si="0">H28-F28</f>
        <v>8847898.1400000006</v>
      </c>
      <c r="H28" s="274">
        <v>8847898.1400000006</v>
      </c>
      <c r="I28" s="53"/>
      <c r="J28" s="49" t="s">
        <v>36</v>
      </c>
      <c r="K28" s="50"/>
      <c r="L28" s="66">
        <v>2.0900327077063574E-2</v>
      </c>
      <c r="M28" s="318">
        <v>-27.017524705130135</v>
      </c>
      <c r="N28" s="319"/>
      <c r="O28" s="320"/>
    </row>
    <row r="29" spans="1:15" x14ac:dyDescent="0.2">
      <c r="A29" s="12"/>
      <c r="B29" s="67" t="s">
        <v>37</v>
      </c>
      <c r="C29" s="67"/>
      <c r="D29" s="67"/>
      <c r="E29" s="67"/>
      <c r="F29" s="68">
        <v>0</v>
      </c>
      <c r="G29" s="68">
        <f t="shared" si="0"/>
        <v>461042461.07999998</v>
      </c>
      <c r="H29" s="69">
        <v>461042461.07999998</v>
      </c>
      <c r="I29" s="53"/>
      <c r="J29" s="49" t="s">
        <v>38</v>
      </c>
      <c r="K29" s="50"/>
      <c r="L29" s="66">
        <v>5.4272843836482383E-3</v>
      </c>
      <c r="M29" s="318">
        <v>-2.5916471706771835</v>
      </c>
      <c r="N29" s="319"/>
      <c r="O29" s="320"/>
    </row>
    <row r="30" spans="1:15" x14ac:dyDescent="0.2">
      <c r="A30" s="12"/>
      <c r="B30" s="7" t="s">
        <v>39</v>
      </c>
      <c r="C30" s="7"/>
      <c r="D30" s="7"/>
      <c r="E30" s="7"/>
      <c r="F30" s="70"/>
      <c r="G30" s="71"/>
      <c r="H30" s="72"/>
      <c r="I30" s="53"/>
      <c r="J30" s="49" t="s">
        <v>40</v>
      </c>
      <c r="K30" s="50"/>
      <c r="L30" s="66">
        <v>0.12333462988599497</v>
      </c>
      <c r="M30" s="318">
        <v>-16.022801374634625</v>
      </c>
      <c r="N30" s="319"/>
      <c r="O30" s="320"/>
    </row>
    <row r="31" spans="1:15" x14ac:dyDescent="0.2">
      <c r="A31" s="12"/>
      <c r="B31" s="7" t="s">
        <v>41</v>
      </c>
      <c r="C31" s="7"/>
      <c r="D31" s="7"/>
      <c r="E31" s="7"/>
      <c r="F31" s="70"/>
      <c r="G31" s="71"/>
      <c r="H31" s="72"/>
      <c r="I31" s="53"/>
      <c r="J31" s="49" t="s">
        <v>42</v>
      </c>
      <c r="K31" s="50"/>
      <c r="L31" s="66">
        <v>0.12808253023270699</v>
      </c>
      <c r="M31" s="318">
        <v>-2.2245239534416856</v>
      </c>
      <c r="N31" s="319"/>
      <c r="O31" s="320"/>
    </row>
    <row r="32" spans="1:15" x14ac:dyDescent="0.2">
      <c r="A32" s="12"/>
      <c r="B32" s="7"/>
      <c r="C32" s="7"/>
      <c r="D32" s="7"/>
      <c r="E32" s="7"/>
      <c r="F32" s="70"/>
      <c r="G32" s="70"/>
      <c r="H32" s="73"/>
      <c r="I32" s="53"/>
      <c r="J32" s="74"/>
      <c r="K32" s="75"/>
      <c r="L32" s="76"/>
      <c r="M32" s="321" t="s">
        <v>43</v>
      </c>
      <c r="N32" s="322"/>
      <c r="O32" s="323"/>
    </row>
    <row r="33" spans="1:15" x14ac:dyDescent="0.2">
      <c r="A33" s="12"/>
      <c r="B33" s="7" t="s">
        <v>44</v>
      </c>
      <c r="C33" s="7"/>
      <c r="D33" s="7"/>
      <c r="E33" s="7"/>
      <c r="F33" s="70"/>
      <c r="G33" s="70">
        <f>H33</f>
        <v>5.0849639066550782</v>
      </c>
      <c r="H33" s="72">
        <v>5.0849639066550782</v>
      </c>
      <c r="I33" s="53"/>
      <c r="J33" s="49" t="s">
        <v>45</v>
      </c>
      <c r="K33" s="50"/>
      <c r="L33" s="66">
        <v>0.71863230269303879</v>
      </c>
      <c r="M33" s="318">
        <v>72.132398608444305</v>
      </c>
      <c r="N33" s="319"/>
      <c r="O33" s="320"/>
    </row>
    <row r="34" spans="1:15" x14ac:dyDescent="0.2">
      <c r="A34" s="12"/>
      <c r="B34" s="7" t="s">
        <v>46</v>
      </c>
      <c r="C34" s="7"/>
      <c r="D34" s="7"/>
      <c r="E34" s="7"/>
      <c r="F34" s="70"/>
      <c r="G34" s="70">
        <f>H34</f>
        <v>156.86292781678529</v>
      </c>
      <c r="H34" s="72">
        <v>156.86292781678529</v>
      </c>
      <c r="I34" s="53"/>
      <c r="J34" s="77" t="s">
        <v>47</v>
      </c>
      <c r="K34" s="50"/>
      <c r="L34" s="66">
        <v>3.5543552405009767E-3</v>
      </c>
      <c r="M34" s="324">
        <v>66.967517345356114</v>
      </c>
      <c r="N34" s="325"/>
      <c r="O34" s="326"/>
    </row>
    <row r="35" spans="1:15" x14ac:dyDescent="0.2">
      <c r="A35" s="12"/>
      <c r="B35" s="7" t="s">
        <v>48</v>
      </c>
      <c r="C35" s="7"/>
      <c r="D35" s="7"/>
      <c r="E35" s="7"/>
      <c r="F35" s="78">
        <v>0</v>
      </c>
      <c r="G35" s="275">
        <f t="shared" ref="G35:G37" si="1">H35</f>
        <v>85987</v>
      </c>
      <c r="H35" s="79">
        <v>85987</v>
      </c>
      <c r="J35" s="77" t="s">
        <v>49</v>
      </c>
      <c r="K35" s="50"/>
      <c r="L35" s="66">
        <v>6.857048704650026E-5</v>
      </c>
      <c r="M35" s="318">
        <v>58.480242144862871</v>
      </c>
      <c r="N35" s="319"/>
      <c r="O35" s="320"/>
    </row>
    <row r="36" spans="1:15" ht="13.5" thickBot="1" x14ac:dyDescent="0.25">
      <c r="A36" s="12"/>
      <c r="B36" s="7" t="s">
        <v>50</v>
      </c>
      <c r="C36" s="7"/>
      <c r="D36" s="7"/>
      <c r="E36" s="7"/>
      <c r="F36" s="78">
        <v>0</v>
      </c>
      <c r="G36" s="275">
        <f t="shared" si="1"/>
        <v>40716</v>
      </c>
      <c r="H36" s="79">
        <v>40716</v>
      </c>
      <c r="J36" s="80" t="s">
        <v>51</v>
      </c>
      <c r="K36" s="50"/>
      <c r="L36" s="81"/>
      <c r="M36" s="327">
        <v>49.201990451525297</v>
      </c>
      <c r="N36" s="328"/>
      <c r="O36" s="329"/>
    </row>
    <row r="37" spans="1:15" ht="12.75" customHeight="1" x14ac:dyDescent="0.2">
      <c r="A37" s="30"/>
      <c r="B37" s="82" t="s">
        <v>52</v>
      </c>
      <c r="C37" s="82"/>
      <c r="D37" s="82"/>
      <c r="E37" s="82"/>
      <c r="F37" s="83">
        <v>0</v>
      </c>
      <c r="G37" s="83">
        <f t="shared" si="1"/>
        <v>11106.065501031535</v>
      </c>
      <c r="H37" s="84">
        <v>11106.065501031535</v>
      </c>
      <c r="J37" s="303" t="s">
        <v>53</v>
      </c>
      <c r="K37" s="304"/>
      <c r="L37" s="304"/>
      <c r="M37" s="304"/>
      <c r="N37" s="304"/>
      <c r="O37" s="305"/>
    </row>
    <row r="38" spans="1:15" s="42" customFormat="1" ht="11.25" x14ac:dyDescent="0.2">
      <c r="A38" s="39"/>
      <c r="B38" s="40"/>
      <c r="C38" s="40"/>
      <c r="D38" s="40"/>
      <c r="E38" s="40"/>
      <c r="F38" s="40"/>
      <c r="G38" s="40"/>
      <c r="H38" s="41"/>
      <c r="J38" s="306"/>
      <c r="K38" s="307"/>
      <c r="L38" s="307"/>
      <c r="M38" s="307"/>
      <c r="N38" s="307"/>
      <c r="O38" s="308"/>
    </row>
    <row r="39" spans="1:15" s="42" customFormat="1" ht="12" thickBot="1" x14ac:dyDescent="0.25">
      <c r="A39" s="39"/>
      <c r="B39" s="40"/>
      <c r="C39" s="40"/>
      <c r="D39" s="40"/>
      <c r="E39" s="40"/>
      <c r="F39" s="40"/>
      <c r="G39" s="40"/>
      <c r="H39" s="41"/>
      <c r="J39" s="309"/>
      <c r="K39" s="310"/>
      <c r="L39" s="310"/>
      <c r="M39" s="310"/>
      <c r="N39" s="310"/>
      <c r="O39" s="311"/>
    </row>
    <row r="40" spans="1:15" ht="6.75" customHeight="1" thickBot="1" x14ac:dyDescent="0.25">
      <c r="A40" s="43"/>
      <c r="B40" s="44"/>
      <c r="C40" s="44"/>
      <c r="D40" s="44"/>
      <c r="E40" s="44"/>
      <c r="F40" s="44"/>
      <c r="G40" s="44"/>
      <c r="H40" s="45"/>
    </row>
    <row r="41" spans="1:15" ht="13.5" thickBot="1" x14ac:dyDescent="0.25"/>
    <row r="42" spans="1:15" ht="15.75" x14ac:dyDescent="0.25">
      <c r="A42" s="8" t="s">
        <v>54</v>
      </c>
      <c r="B42" s="10"/>
      <c r="C42" s="10"/>
      <c r="D42" s="10"/>
      <c r="E42" s="10"/>
      <c r="F42" s="10"/>
      <c r="G42" s="10"/>
      <c r="H42" s="11"/>
    </row>
    <row r="43" spans="1:15" ht="6.75" customHeight="1" x14ac:dyDescent="0.2">
      <c r="A43" s="12"/>
      <c r="B43" s="7"/>
      <c r="C43" s="7"/>
      <c r="D43" s="7"/>
      <c r="E43" s="7"/>
      <c r="F43" s="7"/>
      <c r="G43" s="7"/>
      <c r="H43" s="13"/>
    </row>
    <row r="44" spans="1:15" s="57" customFormat="1" x14ac:dyDescent="0.2">
      <c r="A44" s="52"/>
      <c r="B44" s="15"/>
      <c r="C44" s="15"/>
      <c r="D44" s="15"/>
      <c r="E44" s="15"/>
      <c r="F44" s="85" t="s">
        <v>28</v>
      </c>
      <c r="G44" s="85" t="s">
        <v>29</v>
      </c>
      <c r="H44" s="19" t="s">
        <v>30</v>
      </c>
    </row>
    <row r="45" spans="1:15" x14ac:dyDescent="0.2">
      <c r="A45" s="12"/>
      <c r="B45" s="7" t="s">
        <v>55</v>
      </c>
      <c r="C45" s="7"/>
      <c r="D45" s="7"/>
      <c r="E45" s="7"/>
      <c r="F45" s="276">
        <v>1177745</v>
      </c>
      <c r="G45" s="86">
        <f>H45-F45</f>
        <v>0</v>
      </c>
      <c r="H45" s="277">
        <v>1177745</v>
      </c>
    </row>
    <row r="46" spans="1:15" x14ac:dyDescent="0.2">
      <c r="A46" s="12"/>
      <c r="B46" s="7" t="s">
        <v>56</v>
      </c>
      <c r="C46" s="7"/>
      <c r="D46" s="7"/>
      <c r="E46" s="7"/>
      <c r="F46" s="278">
        <v>1177745</v>
      </c>
      <c r="G46" s="86">
        <f t="shared" ref="G46:G52" si="2">H46-F46</f>
        <v>-25138.850000000093</v>
      </c>
      <c r="H46" s="277">
        <v>1152606.1499999999</v>
      </c>
    </row>
    <row r="47" spans="1:15" x14ac:dyDescent="0.2">
      <c r="A47" s="12"/>
      <c r="B47" s="7" t="s">
        <v>57</v>
      </c>
      <c r="C47" s="7"/>
      <c r="D47" s="7"/>
      <c r="E47" s="7"/>
      <c r="F47" s="278">
        <v>4710981</v>
      </c>
      <c r="G47" s="86">
        <f t="shared" si="2"/>
        <v>0</v>
      </c>
      <c r="H47" s="277">
        <v>4710981</v>
      </c>
    </row>
    <row r="48" spans="1:15" x14ac:dyDescent="0.2">
      <c r="A48" s="12"/>
      <c r="B48" s="7" t="s">
        <v>58</v>
      </c>
      <c r="C48" s="7"/>
      <c r="D48" s="7"/>
      <c r="E48" s="7"/>
      <c r="F48" s="278">
        <v>4710981</v>
      </c>
      <c r="G48" s="86">
        <f t="shared" si="2"/>
        <v>0</v>
      </c>
      <c r="H48" s="277">
        <v>4710981</v>
      </c>
    </row>
    <row r="49" spans="1:11" x14ac:dyDescent="0.2">
      <c r="A49" s="12"/>
      <c r="B49" s="7" t="s">
        <v>59</v>
      </c>
      <c r="C49" s="7"/>
      <c r="D49" s="7"/>
      <c r="E49" s="7"/>
      <c r="F49" s="278">
        <v>0</v>
      </c>
      <c r="G49" s="86">
        <f t="shared" si="2"/>
        <v>12869309.91</v>
      </c>
      <c r="H49" s="277">
        <v>12869309.91</v>
      </c>
    </row>
    <row r="50" spans="1:11" x14ac:dyDescent="0.2">
      <c r="A50" s="12"/>
      <c r="B50" s="7" t="s">
        <v>60</v>
      </c>
      <c r="C50" s="7"/>
      <c r="D50" s="7"/>
      <c r="E50" s="7"/>
      <c r="F50" s="278">
        <f>453409036+2702238</f>
        <v>456111274</v>
      </c>
      <c r="G50" s="86">
        <f t="shared" si="2"/>
        <v>-456111274</v>
      </c>
      <c r="H50" s="277">
        <v>0</v>
      </c>
    </row>
    <row r="51" spans="1:11" x14ac:dyDescent="0.2">
      <c r="A51" s="12"/>
      <c r="B51" s="7" t="s">
        <v>61</v>
      </c>
      <c r="C51" s="7"/>
      <c r="D51" s="7"/>
      <c r="E51" s="7"/>
      <c r="F51" s="25"/>
      <c r="G51" s="86"/>
      <c r="H51" s="87"/>
    </row>
    <row r="52" spans="1:11" x14ac:dyDescent="0.2">
      <c r="A52" s="12"/>
      <c r="B52" s="67" t="s">
        <v>39</v>
      </c>
      <c r="C52" s="7"/>
      <c r="D52" s="7"/>
      <c r="E52" s="7"/>
      <c r="F52" s="279">
        <f>F45+F47+F50</f>
        <v>462000000</v>
      </c>
      <c r="G52" s="88">
        <f t="shared" si="2"/>
        <v>-443241964.08999997</v>
      </c>
      <c r="H52" s="89">
        <f>H45+H47+H49</f>
        <v>18758035.91</v>
      </c>
    </row>
    <row r="53" spans="1:11" ht="7.5" customHeight="1" x14ac:dyDescent="0.2">
      <c r="A53" s="12"/>
      <c r="B53" s="7"/>
      <c r="C53" s="7"/>
      <c r="D53" s="7"/>
      <c r="E53" s="7"/>
      <c r="F53" s="90"/>
      <c r="G53" s="90"/>
      <c r="H53" s="13"/>
    </row>
    <row r="54" spans="1:11" x14ac:dyDescent="0.2">
      <c r="A54" s="12"/>
      <c r="B54" s="50"/>
      <c r="C54" s="7"/>
      <c r="D54" s="7"/>
      <c r="E54" s="7"/>
      <c r="F54" s="25"/>
      <c r="G54" s="91"/>
      <c r="H54" s="29"/>
    </row>
    <row r="55" spans="1:11" x14ac:dyDescent="0.2">
      <c r="A55" s="30"/>
      <c r="B55" s="63"/>
      <c r="C55" s="82"/>
      <c r="D55" s="82"/>
      <c r="E55" s="82"/>
      <c r="F55" s="34"/>
      <c r="G55" s="92"/>
      <c r="H55" s="93"/>
    </row>
    <row r="56" spans="1:11" s="42" customFormat="1" ht="11.25" x14ac:dyDescent="0.2">
      <c r="A56" s="39"/>
      <c r="B56" s="40"/>
      <c r="C56" s="40"/>
      <c r="D56" s="40"/>
      <c r="E56" s="40"/>
      <c r="F56" s="40"/>
      <c r="G56" s="40"/>
      <c r="H56" s="41"/>
    </row>
    <row r="57" spans="1:11" s="42" customFormat="1" ht="11.25" x14ac:dyDescent="0.2">
      <c r="A57" s="39"/>
      <c r="B57" s="40"/>
      <c r="C57" s="40"/>
      <c r="D57" s="40"/>
      <c r="E57" s="40"/>
      <c r="F57" s="40"/>
      <c r="G57" s="40"/>
      <c r="H57" s="41"/>
    </row>
    <row r="58" spans="1:11" ht="6.75" customHeight="1" thickBot="1" x14ac:dyDescent="0.25">
      <c r="A58" s="43"/>
      <c r="B58" s="44"/>
      <c r="C58" s="44"/>
      <c r="D58" s="44"/>
      <c r="E58" s="44"/>
      <c r="F58" s="44"/>
      <c r="G58" s="44"/>
      <c r="H58" s="45"/>
    </row>
    <row r="59" spans="1:11" ht="13.5" thickBot="1" x14ac:dyDescent="0.25"/>
    <row r="60" spans="1:11" ht="15.75" x14ac:dyDescent="0.25">
      <c r="A60" s="8" t="s">
        <v>62</v>
      </c>
      <c r="B60" s="10"/>
      <c r="C60" s="10"/>
      <c r="D60" s="10"/>
      <c r="E60" s="10"/>
      <c r="F60" s="10"/>
      <c r="G60" s="10"/>
      <c r="H60" s="11"/>
      <c r="J60" s="8" t="s">
        <v>63</v>
      </c>
      <c r="K60" s="11"/>
    </row>
    <row r="61" spans="1:11" ht="6.75" customHeight="1" x14ac:dyDescent="0.2">
      <c r="A61" s="12"/>
      <c r="B61" s="7"/>
      <c r="C61" s="7"/>
      <c r="D61" s="7"/>
      <c r="E61" s="7"/>
      <c r="F61" s="7"/>
      <c r="G61" s="7"/>
      <c r="H61" s="13"/>
      <c r="J61" s="12"/>
      <c r="K61" s="13"/>
    </row>
    <row r="62" spans="1:11" s="57" customFormat="1" x14ac:dyDescent="0.2">
      <c r="A62" s="52"/>
      <c r="B62" s="15"/>
      <c r="C62" s="15"/>
      <c r="D62" s="15"/>
      <c r="E62" s="15"/>
      <c r="F62" s="85" t="s">
        <v>28</v>
      </c>
      <c r="G62" s="85" t="s">
        <v>29</v>
      </c>
      <c r="H62" s="19" t="s">
        <v>30</v>
      </c>
      <c r="J62" s="52"/>
      <c r="K62" s="94" t="s">
        <v>64</v>
      </c>
    </row>
    <row r="63" spans="1:11" x14ac:dyDescent="0.2">
      <c r="A63" s="58"/>
      <c r="B63" s="95" t="s">
        <v>65</v>
      </c>
      <c r="C63" s="59"/>
      <c r="D63" s="59"/>
      <c r="E63" s="59"/>
      <c r="F63" s="96"/>
      <c r="G63" s="97">
        <f t="shared" ref="G63:G69" si="3">H63-F63</f>
        <v>0</v>
      </c>
      <c r="H63" s="98"/>
      <c r="J63" s="58" t="s">
        <v>66</v>
      </c>
      <c r="K63" s="99"/>
    </row>
    <row r="64" spans="1:11" x14ac:dyDescent="0.2">
      <c r="A64" s="12"/>
      <c r="B64" s="7" t="s">
        <v>67</v>
      </c>
      <c r="C64" s="7"/>
      <c r="D64" s="7"/>
      <c r="E64" s="7"/>
      <c r="F64" s="278"/>
      <c r="G64" s="86">
        <f t="shared" si="3"/>
        <v>452194562.94</v>
      </c>
      <c r="H64" s="277">
        <v>452194562.94</v>
      </c>
      <c r="J64" s="30" t="s">
        <v>68</v>
      </c>
      <c r="K64" s="101">
        <v>5.1499999999999997E-2</v>
      </c>
    </row>
    <row r="65" spans="1:15" x14ac:dyDescent="0.2">
      <c r="A65" s="12"/>
      <c r="B65" s="7" t="s">
        <v>221</v>
      </c>
      <c r="C65" s="7"/>
      <c r="D65" s="7"/>
      <c r="E65" s="7"/>
      <c r="F65" s="278"/>
      <c r="G65" s="86">
        <f t="shared" si="3"/>
        <v>8847898.1400000006</v>
      </c>
      <c r="H65" s="277">
        <v>8847898.1400000006</v>
      </c>
      <c r="J65" s="102"/>
      <c r="K65" s="13"/>
    </row>
    <row r="66" spans="1:15" ht="13.5" thickBot="1" x14ac:dyDescent="0.25">
      <c r="A66" s="12"/>
      <c r="B66" s="7" t="s">
        <v>69</v>
      </c>
      <c r="C66" s="7"/>
      <c r="D66" s="7"/>
      <c r="E66" s="7"/>
      <c r="F66" s="278"/>
      <c r="G66" s="86">
        <f t="shared" si="3"/>
        <v>0</v>
      </c>
      <c r="H66" s="277"/>
      <c r="J66" s="43"/>
      <c r="K66" s="45"/>
    </row>
    <row r="67" spans="1:15" x14ac:dyDescent="0.2">
      <c r="A67" s="12"/>
      <c r="B67" s="7" t="s">
        <v>220</v>
      </c>
      <c r="C67" s="7"/>
      <c r="D67" s="7"/>
      <c r="E67" s="7"/>
      <c r="F67" s="278"/>
      <c r="G67" s="86">
        <f t="shared" si="3"/>
        <v>388064.59</v>
      </c>
      <c r="H67" s="277">
        <v>388064.59</v>
      </c>
    </row>
    <row r="68" spans="1:15" ht="13.5" thickBot="1" x14ac:dyDescent="0.25">
      <c r="A68" s="12"/>
      <c r="B68" s="7" t="s">
        <v>70</v>
      </c>
      <c r="C68" s="7"/>
      <c r="D68" s="7"/>
      <c r="E68" s="7"/>
      <c r="F68" s="280">
        <f>F52</f>
        <v>462000000</v>
      </c>
      <c r="G68" s="100">
        <f t="shared" si="3"/>
        <v>-443241964.08999997</v>
      </c>
      <c r="H68" s="87">
        <f>H52</f>
        <v>18758035.91</v>
      </c>
    </row>
    <row r="69" spans="1:15" ht="15.75" x14ac:dyDescent="0.25">
      <c r="A69" s="12"/>
      <c r="B69" s="103" t="s">
        <v>71</v>
      </c>
      <c r="C69" s="7"/>
      <c r="D69" s="7"/>
      <c r="E69" s="7"/>
      <c r="F69" s="281">
        <f>SUM(F64:F68)</f>
        <v>462000000</v>
      </c>
      <c r="G69" s="104">
        <f t="shared" si="3"/>
        <v>18188561.579999983</v>
      </c>
      <c r="H69" s="282">
        <f>SUM(H64:H68)</f>
        <v>480188561.57999998</v>
      </c>
      <c r="J69" s="8" t="s">
        <v>72</v>
      </c>
      <c r="K69" s="10"/>
      <c r="L69" s="10"/>
      <c r="M69" s="10"/>
      <c r="N69" s="10"/>
      <c r="O69" s="11"/>
    </row>
    <row r="70" spans="1:15" ht="6.75" customHeight="1" x14ac:dyDescent="0.2">
      <c r="A70" s="12"/>
      <c r="B70" s="103"/>
      <c r="C70" s="7"/>
      <c r="D70" s="7"/>
      <c r="E70" s="7"/>
      <c r="F70" s="90"/>
      <c r="G70" s="100"/>
      <c r="H70" s="277"/>
      <c r="J70" s="12"/>
      <c r="K70" s="7"/>
      <c r="L70" s="7"/>
      <c r="M70" s="7"/>
      <c r="N70" s="7"/>
      <c r="O70" s="13"/>
    </row>
    <row r="71" spans="1:15" x14ac:dyDescent="0.2">
      <c r="A71" s="12"/>
      <c r="B71" s="103" t="s">
        <v>73</v>
      </c>
      <c r="C71" s="7"/>
      <c r="D71" s="7"/>
      <c r="E71" s="7"/>
      <c r="F71" s="90"/>
      <c r="G71" s="100"/>
      <c r="H71" s="277"/>
      <c r="J71" s="14"/>
      <c r="K71" s="105"/>
      <c r="L71" s="85" t="s">
        <v>74</v>
      </c>
      <c r="M71" s="85" t="s">
        <v>75</v>
      </c>
      <c r="N71" s="85" t="s">
        <v>76</v>
      </c>
      <c r="O71" s="106" t="s">
        <v>77</v>
      </c>
    </row>
    <row r="72" spans="1:15" x14ac:dyDescent="0.2">
      <c r="A72" s="12"/>
      <c r="B72" s="7" t="s">
        <v>78</v>
      </c>
      <c r="C72" s="7"/>
      <c r="D72" s="7"/>
      <c r="E72" s="7"/>
      <c r="F72" s="278">
        <f>462000000+9200000</f>
        <v>471200000</v>
      </c>
      <c r="G72" s="100">
        <f t="shared" ref="G72:G74" si="4">H72-F72</f>
        <v>0</v>
      </c>
      <c r="H72" s="277">
        <v>471200000</v>
      </c>
      <c r="J72" s="12" t="s">
        <v>79</v>
      </c>
      <c r="K72" s="7"/>
      <c r="L72" s="107">
        <v>347865286.80000019</v>
      </c>
      <c r="M72" s="108">
        <v>0.76928232957581344</v>
      </c>
      <c r="N72" s="109">
        <v>66343</v>
      </c>
      <c r="O72" s="110">
        <v>0</v>
      </c>
    </row>
    <row r="73" spans="1:15" x14ac:dyDescent="0.2">
      <c r="A73" s="12"/>
      <c r="B73" s="7" t="s">
        <v>80</v>
      </c>
      <c r="C73" s="7"/>
      <c r="D73" s="7"/>
      <c r="E73" s="7"/>
      <c r="F73" s="25"/>
      <c r="G73" s="100">
        <f t="shared" si="4"/>
        <v>958777.97</v>
      </c>
      <c r="H73" s="277">
        <v>958777.97</v>
      </c>
      <c r="J73" s="12" t="s">
        <v>81</v>
      </c>
      <c r="K73" s="7"/>
      <c r="L73" s="107">
        <v>10678211.800000001</v>
      </c>
      <c r="M73" s="108">
        <v>2.3614197682020444E-2</v>
      </c>
      <c r="N73" s="109">
        <v>1155</v>
      </c>
      <c r="O73" s="111">
        <v>0</v>
      </c>
    </row>
    <row r="74" spans="1:15" x14ac:dyDescent="0.2">
      <c r="A74" s="12"/>
      <c r="B74" s="103" t="s">
        <v>82</v>
      </c>
      <c r="C74" s="67"/>
      <c r="D74" s="67"/>
      <c r="E74" s="67"/>
      <c r="F74" s="281">
        <f>SUM(F72:F73)</f>
        <v>471200000</v>
      </c>
      <c r="G74" s="104">
        <f t="shared" si="4"/>
        <v>958777.97000002861</v>
      </c>
      <c r="H74" s="89">
        <f>SUM(H72:H73)</f>
        <v>472158777.97000003</v>
      </c>
      <c r="J74" s="12" t="s">
        <v>83</v>
      </c>
      <c r="K74" s="7"/>
      <c r="L74" s="107">
        <v>60004947.01000002</v>
      </c>
      <c r="M74" s="108">
        <v>0.13269718817464379</v>
      </c>
      <c r="N74" s="109">
        <v>11140</v>
      </c>
      <c r="O74" s="111">
        <v>0</v>
      </c>
    </row>
    <row r="75" spans="1:15" x14ac:dyDescent="0.2">
      <c r="A75" s="12"/>
      <c r="B75" s="7"/>
      <c r="C75" s="7"/>
      <c r="D75" s="7"/>
      <c r="E75" s="7"/>
      <c r="F75" s="90"/>
      <c r="G75" s="90"/>
      <c r="H75" s="87"/>
      <c r="J75" s="12" t="s">
        <v>84</v>
      </c>
      <c r="K75" s="7"/>
      <c r="L75" s="107">
        <v>33646117.329999998</v>
      </c>
      <c r="M75" s="108">
        <v>7.4406284567522227E-2</v>
      </c>
      <c r="N75" s="109">
        <v>7349</v>
      </c>
      <c r="O75" s="111">
        <v>36117.230000000003</v>
      </c>
    </row>
    <row r="76" spans="1:15" x14ac:dyDescent="0.2">
      <c r="A76" s="30"/>
      <c r="B76" s="82" t="s">
        <v>85</v>
      </c>
      <c r="C76" s="82"/>
      <c r="D76" s="82"/>
      <c r="E76" s="82"/>
      <c r="F76" s="283">
        <f>F69/F74</f>
        <v>0.98047538200339557</v>
      </c>
      <c r="G76" s="33">
        <f>H76-F76</f>
        <v>3.6531150512050248E-2</v>
      </c>
      <c r="H76" s="112">
        <f>H69/H74</f>
        <v>1.0170065325154458</v>
      </c>
      <c r="J76" s="113" t="s">
        <v>86</v>
      </c>
      <c r="K76" s="82"/>
      <c r="L76" s="114">
        <v>452194562.94000024</v>
      </c>
      <c r="M76" s="115"/>
      <c r="N76" s="116">
        <v>85987</v>
      </c>
      <c r="O76" s="117">
        <v>36117.230000000003</v>
      </c>
    </row>
    <row r="77" spans="1:15" x14ac:dyDescent="0.2">
      <c r="A77" s="39"/>
      <c r="B77" s="40"/>
      <c r="C77" s="40"/>
      <c r="D77" s="40"/>
      <c r="E77" s="40"/>
      <c r="F77" s="40"/>
      <c r="G77" s="40"/>
      <c r="H77" s="41"/>
      <c r="J77" s="39"/>
      <c r="K77" s="7"/>
      <c r="L77" s="7"/>
      <c r="M77" s="7"/>
      <c r="N77" s="7"/>
      <c r="O77" s="13"/>
    </row>
    <row r="78" spans="1:15" ht="13.5" thickBot="1" x14ac:dyDescent="0.25">
      <c r="A78" s="39"/>
      <c r="B78" s="40"/>
      <c r="C78" s="40"/>
      <c r="D78" s="40"/>
      <c r="E78" s="40"/>
      <c r="F78" s="40"/>
      <c r="G78" s="40"/>
      <c r="H78" s="41"/>
      <c r="J78" s="43"/>
      <c r="K78" s="44"/>
      <c r="L78" s="44"/>
      <c r="M78" s="44"/>
      <c r="N78" s="44"/>
      <c r="O78" s="45"/>
    </row>
    <row r="79" spans="1:15" ht="6.75" customHeight="1" thickBot="1" x14ac:dyDescent="0.25">
      <c r="A79" s="43"/>
      <c r="B79" s="44"/>
      <c r="C79" s="44"/>
      <c r="D79" s="44"/>
      <c r="E79" s="44"/>
      <c r="F79" s="44"/>
      <c r="G79" s="44"/>
      <c r="H79" s="45"/>
    </row>
    <row r="80" spans="1:15" ht="6.75" customHeight="1" x14ac:dyDescent="0.2"/>
    <row r="81" spans="1:15" ht="12.75" customHeight="1" thickBot="1" x14ac:dyDescent="0.25">
      <c r="A81" s="4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5" ht="15.75" x14ac:dyDescent="0.25">
      <c r="A82" s="8" t="s">
        <v>87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1"/>
    </row>
    <row r="83" spans="1:15" ht="6.75" customHeight="1" x14ac:dyDescent="0.2">
      <c r="A83" s="1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3"/>
    </row>
    <row r="84" spans="1:15" s="57" customFormat="1" x14ac:dyDescent="0.2">
      <c r="A84" s="52"/>
      <c r="B84" s="15"/>
      <c r="C84" s="15"/>
      <c r="D84" s="15"/>
      <c r="E84" s="118"/>
      <c r="F84" s="330" t="s">
        <v>76</v>
      </c>
      <c r="G84" s="330"/>
      <c r="H84" s="330" t="s">
        <v>74</v>
      </c>
      <c r="I84" s="330"/>
      <c r="J84" s="330" t="s">
        <v>75</v>
      </c>
      <c r="K84" s="330"/>
      <c r="L84" s="330" t="s">
        <v>88</v>
      </c>
      <c r="M84" s="330"/>
      <c r="N84" s="330" t="s">
        <v>89</v>
      </c>
      <c r="O84" s="331"/>
    </row>
    <row r="85" spans="1:15" s="57" customFormat="1" x14ac:dyDescent="0.2">
      <c r="A85" s="52"/>
      <c r="B85" s="15"/>
      <c r="C85" s="15"/>
      <c r="D85" s="15"/>
      <c r="E85" s="118"/>
      <c r="F85" s="85" t="s">
        <v>90</v>
      </c>
      <c r="G85" s="85" t="s">
        <v>91</v>
      </c>
      <c r="H85" s="119" t="s">
        <v>90</v>
      </c>
      <c r="I85" s="120" t="s">
        <v>91</v>
      </c>
      <c r="J85" s="85" t="s">
        <v>90</v>
      </c>
      <c r="K85" s="85" t="s">
        <v>91</v>
      </c>
      <c r="L85" s="85" t="s">
        <v>90</v>
      </c>
      <c r="M85" s="85" t="s">
        <v>91</v>
      </c>
      <c r="N85" s="85" t="s">
        <v>90</v>
      </c>
      <c r="O85" s="94" t="s">
        <v>91</v>
      </c>
    </row>
    <row r="86" spans="1:15" x14ac:dyDescent="0.2">
      <c r="A86" s="12"/>
      <c r="B86" s="7" t="s">
        <v>92</v>
      </c>
      <c r="C86" s="7"/>
      <c r="D86" s="7"/>
      <c r="E86" s="7"/>
      <c r="F86" s="78">
        <v>2873</v>
      </c>
      <c r="G86" s="78">
        <v>2643</v>
      </c>
      <c r="H86" s="70">
        <v>10123195.34</v>
      </c>
      <c r="I86" s="70">
        <v>9444677.0299999975</v>
      </c>
      <c r="J86" s="121">
        <v>2.2140223704376513E-2</v>
      </c>
      <c r="K86" s="122">
        <v>2.0886312671683258E-2</v>
      </c>
      <c r="L86" s="123">
        <v>6.2003384355418367</v>
      </c>
      <c r="M86" s="123">
        <v>6.2051769332127185</v>
      </c>
      <c r="N86" s="123">
        <v>120.42499706026616</v>
      </c>
      <c r="O86" s="124">
        <v>120.44290023329684</v>
      </c>
    </row>
    <row r="87" spans="1:15" x14ac:dyDescent="0.2">
      <c r="A87" s="12"/>
      <c r="B87" s="7" t="s">
        <v>93</v>
      </c>
      <c r="C87" s="7"/>
      <c r="D87" s="7"/>
      <c r="E87" s="7"/>
      <c r="F87" s="78">
        <v>649</v>
      </c>
      <c r="G87" s="78">
        <v>743</v>
      </c>
      <c r="H87" s="70">
        <v>2243542.9500000002</v>
      </c>
      <c r="I87" s="70">
        <v>2452542.87</v>
      </c>
      <c r="J87" s="121">
        <v>4.906804732603018E-3</v>
      </c>
      <c r="K87" s="108">
        <v>5.4236451983289725E-3</v>
      </c>
      <c r="L87" s="125">
        <v>6.2053678958096157</v>
      </c>
      <c r="M87" s="125">
        <v>6.1803561640494378</v>
      </c>
      <c r="N87" s="125">
        <v>116.07526675609216</v>
      </c>
      <c r="O87" s="126">
        <v>116.94053386312468</v>
      </c>
    </row>
    <row r="88" spans="1:15" x14ac:dyDescent="0.2">
      <c r="A88" s="12"/>
      <c r="B88" s="7" t="s">
        <v>94</v>
      </c>
      <c r="C88" s="7"/>
      <c r="D88" s="7"/>
      <c r="E88" s="7"/>
      <c r="F88" s="78"/>
      <c r="G88" s="78"/>
      <c r="H88" s="70"/>
      <c r="I88" s="70"/>
      <c r="J88" s="108"/>
      <c r="K88" s="108"/>
      <c r="L88" s="125"/>
      <c r="M88" s="125"/>
      <c r="N88" s="125"/>
      <c r="O88" s="126"/>
    </row>
    <row r="89" spans="1:15" x14ac:dyDescent="0.2">
      <c r="A89" s="12"/>
      <c r="B89" s="7" t="s">
        <v>95</v>
      </c>
      <c r="C89" s="7"/>
      <c r="D89" s="7"/>
      <c r="E89" s="7"/>
      <c r="F89" s="78">
        <v>47997</v>
      </c>
      <c r="G89" s="78">
        <v>47154</v>
      </c>
      <c r="H89" s="70">
        <v>261856707.27000022</v>
      </c>
      <c r="I89" s="70">
        <v>252015366.11000013</v>
      </c>
      <c r="J89" s="121">
        <v>0.57270119589031265</v>
      </c>
      <c r="K89" s="108">
        <v>0.55731622351115939</v>
      </c>
      <c r="L89" s="125">
        <v>4.9900276383480673</v>
      </c>
      <c r="M89" s="125">
        <v>4.9653419691443794</v>
      </c>
      <c r="N89" s="125">
        <v>158.10355430927342</v>
      </c>
      <c r="O89" s="126">
        <v>154.81992972825236</v>
      </c>
    </row>
    <row r="90" spans="1:15" x14ac:dyDescent="0.2">
      <c r="A90" s="12"/>
      <c r="B90" s="50" t="s">
        <v>96</v>
      </c>
      <c r="C90" s="7"/>
      <c r="D90" s="7"/>
      <c r="E90" s="7"/>
      <c r="F90" s="78">
        <v>4507</v>
      </c>
      <c r="G90" s="78">
        <v>3322</v>
      </c>
      <c r="H90" s="70">
        <v>20253350.52</v>
      </c>
      <c r="I90" s="70">
        <v>20612235.080000002</v>
      </c>
      <c r="J90" s="121">
        <v>4.4295669125747637E-2</v>
      </c>
      <c r="K90" s="108">
        <v>4.5582668986524189E-2</v>
      </c>
      <c r="L90" s="125">
        <v>4.7185405793342285</v>
      </c>
      <c r="M90" s="125">
        <v>5.270982027913103</v>
      </c>
      <c r="N90" s="125">
        <v>143.83304280066346</v>
      </c>
      <c r="O90" s="126">
        <v>182.28501542152989</v>
      </c>
    </row>
    <row r="91" spans="1:15" x14ac:dyDescent="0.2">
      <c r="A91" s="12"/>
      <c r="B91" s="50" t="s">
        <v>97</v>
      </c>
      <c r="C91" s="7"/>
      <c r="D91" s="7"/>
      <c r="E91" s="7"/>
      <c r="F91" s="78">
        <v>2027</v>
      </c>
      <c r="G91" s="78">
        <v>3264</v>
      </c>
      <c r="H91" s="70">
        <v>10553275.08</v>
      </c>
      <c r="I91" s="70">
        <v>14181834.650000004</v>
      </c>
      <c r="J91" s="121">
        <v>2.3080841892064285E-2</v>
      </c>
      <c r="K91" s="108">
        <v>3.1362240531586698E-2</v>
      </c>
      <c r="L91" s="125">
        <v>5.1369560327617254</v>
      </c>
      <c r="M91" s="125">
        <v>4.6559154051693845</v>
      </c>
      <c r="N91" s="125">
        <v>155.10106596785494</v>
      </c>
      <c r="O91" s="126">
        <v>136.82688550736992</v>
      </c>
    </row>
    <row r="92" spans="1:15" x14ac:dyDescent="0.2">
      <c r="A92" s="12"/>
      <c r="B92" s="50" t="s">
        <v>98</v>
      </c>
      <c r="C92" s="7"/>
      <c r="D92" s="7"/>
      <c r="E92" s="7"/>
      <c r="F92" s="78">
        <v>2369</v>
      </c>
      <c r="G92" s="78">
        <v>1559</v>
      </c>
      <c r="H92" s="70">
        <v>12914625.260000002</v>
      </c>
      <c r="I92" s="70">
        <v>8152009.6599999992</v>
      </c>
      <c r="J92" s="121">
        <v>2.824530029414524E-2</v>
      </c>
      <c r="K92" s="108">
        <v>1.8027659614035775E-2</v>
      </c>
      <c r="L92" s="125">
        <v>5.1169227473929793</v>
      </c>
      <c r="M92" s="125">
        <v>5.0862076984400915</v>
      </c>
      <c r="N92" s="125">
        <v>166.41631544483542</v>
      </c>
      <c r="O92" s="126">
        <v>153.39451053594567</v>
      </c>
    </row>
    <row r="93" spans="1:15" x14ac:dyDescent="0.2">
      <c r="A93" s="12"/>
      <c r="B93" s="50" t="s">
        <v>99</v>
      </c>
      <c r="C93" s="7"/>
      <c r="D93" s="7"/>
      <c r="E93" s="7"/>
      <c r="F93" s="78">
        <v>1981</v>
      </c>
      <c r="G93" s="78">
        <v>3145</v>
      </c>
      <c r="H93" s="70">
        <v>9393030.2100000009</v>
      </c>
      <c r="I93" s="70">
        <v>16092805.39000001</v>
      </c>
      <c r="J93" s="121">
        <v>2.0543295187600986E-2</v>
      </c>
      <c r="K93" s="108">
        <v>3.5588232829184413E-2</v>
      </c>
      <c r="L93" s="125">
        <v>5.0644841777954852</v>
      </c>
      <c r="M93" s="125">
        <v>5.056818412097253</v>
      </c>
      <c r="N93" s="125">
        <v>147.83674742274687</v>
      </c>
      <c r="O93" s="126">
        <v>160.46044980601096</v>
      </c>
    </row>
    <row r="94" spans="1:15" x14ac:dyDescent="0.2">
      <c r="A94" s="12"/>
      <c r="B94" s="50" t="s">
        <v>100</v>
      </c>
      <c r="C94" s="7"/>
      <c r="D94" s="7"/>
      <c r="E94" s="7"/>
      <c r="F94" s="78">
        <v>1640</v>
      </c>
      <c r="G94" s="78">
        <v>1846</v>
      </c>
      <c r="H94" s="70">
        <v>8848548.8600000013</v>
      </c>
      <c r="I94" s="70">
        <v>9920143.7999999933</v>
      </c>
      <c r="J94" s="121">
        <v>1.9352471688993983E-2</v>
      </c>
      <c r="K94" s="108">
        <v>2.1937777702374227E-2</v>
      </c>
      <c r="L94" s="125">
        <v>5.4088740521007868</v>
      </c>
      <c r="M94" s="125">
        <v>5.3263594719917302</v>
      </c>
      <c r="N94" s="125">
        <v>152.91709424091943</v>
      </c>
      <c r="O94" s="126">
        <v>153.20000646159991</v>
      </c>
    </row>
    <row r="95" spans="1:15" x14ac:dyDescent="0.2">
      <c r="A95" s="12"/>
      <c r="B95" s="50" t="s">
        <v>101</v>
      </c>
      <c r="C95" s="7"/>
      <c r="D95" s="7"/>
      <c r="E95" s="7"/>
      <c r="F95" s="78">
        <v>614</v>
      </c>
      <c r="G95" s="78">
        <v>734</v>
      </c>
      <c r="H95" s="70">
        <v>2972034.0799999996</v>
      </c>
      <c r="I95" s="70">
        <v>3769327.13</v>
      </c>
      <c r="J95" s="121">
        <v>6.5000720798331288E-3</v>
      </c>
      <c r="K95" s="108">
        <v>8.3356312501708177E-3</v>
      </c>
      <c r="L95" s="125">
        <v>5.3692421805102581</v>
      </c>
      <c r="M95" s="125">
        <v>5.3768217680803954</v>
      </c>
      <c r="N95" s="125">
        <v>138.63199642380954</v>
      </c>
      <c r="O95" s="126">
        <v>139.68160644629432</v>
      </c>
    </row>
    <row r="96" spans="1:15" x14ac:dyDescent="0.2">
      <c r="A96" s="127"/>
      <c r="B96" s="128" t="s">
        <v>102</v>
      </c>
      <c r="C96" s="129"/>
      <c r="D96" s="129"/>
      <c r="E96" s="129"/>
      <c r="F96" s="130">
        <v>61135</v>
      </c>
      <c r="G96" s="130">
        <v>61024</v>
      </c>
      <c r="H96" s="131">
        <v>326791571.28000015</v>
      </c>
      <c r="I96" s="131">
        <v>324743721.82000011</v>
      </c>
      <c r="J96" s="132">
        <v>0.71471884615869774</v>
      </c>
      <c r="K96" s="133">
        <v>0.71815043442503546</v>
      </c>
      <c r="L96" s="134">
        <v>4.9998915708470024</v>
      </c>
      <c r="M96" s="134">
        <v>4.994600262485589</v>
      </c>
      <c r="N96" s="134">
        <v>156.8380542025526</v>
      </c>
      <c r="O96" s="135">
        <v>155.79597021802709</v>
      </c>
    </row>
    <row r="97" spans="1:15" x14ac:dyDescent="0.2">
      <c r="A97" s="12"/>
      <c r="B97" s="50" t="s">
        <v>103</v>
      </c>
      <c r="C97" s="7"/>
      <c r="D97" s="7"/>
      <c r="E97" s="7"/>
      <c r="F97" s="78">
        <v>8914</v>
      </c>
      <c r="G97" s="78">
        <v>9064</v>
      </c>
      <c r="H97" s="70">
        <v>56787871.900000006</v>
      </c>
      <c r="I97" s="70">
        <v>57879387.570000015</v>
      </c>
      <c r="J97" s="121">
        <v>0.12419953832101763</v>
      </c>
      <c r="K97" s="108">
        <v>0.12799664638532993</v>
      </c>
      <c r="L97" s="125">
        <v>5.2747472366727353</v>
      </c>
      <c r="M97" s="125">
        <v>5.325044982785915</v>
      </c>
      <c r="N97" s="125">
        <v>169.45487639095708</v>
      </c>
      <c r="O97" s="126">
        <v>170.45341189621703</v>
      </c>
    </row>
    <row r="98" spans="1:15" x14ac:dyDescent="0.2">
      <c r="A98" s="12"/>
      <c r="B98" s="50" t="s">
        <v>104</v>
      </c>
      <c r="C98" s="7"/>
      <c r="D98" s="7"/>
      <c r="E98" s="7"/>
      <c r="F98" s="78">
        <v>12594</v>
      </c>
      <c r="G98" s="78">
        <v>11808</v>
      </c>
      <c r="H98" s="70">
        <v>58961584.839999996</v>
      </c>
      <c r="I98" s="70">
        <v>55733852.470000021</v>
      </c>
      <c r="J98" s="121">
        <v>0.12895361933440422</v>
      </c>
      <c r="K98" s="108">
        <v>0.12325192967301361</v>
      </c>
      <c r="L98" s="125">
        <v>5.1216037341941636</v>
      </c>
      <c r="M98" s="125">
        <v>5.1122193915935821</v>
      </c>
      <c r="N98" s="125">
        <v>155.14497083606545</v>
      </c>
      <c r="O98" s="126">
        <v>157.00560824823955</v>
      </c>
    </row>
    <row r="99" spans="1:15" x14ac:dyDescent="0.2">
      <c r="A99" s="12"/>
      <c r="B99" s="50" t="s">
        <v>105</v>
      </c>
      <c r="C99" s="7"/>
      <c r="D99" s="7"/>
      <c r="E99" s="7"/>
      <c r="F99" s="78">
        <v>574</v>
      </c>
      <c r="G99" s="78">
        <v>338</v>
      </c>
      <c r="H99" s="70">
        <v>1135840.8899999999</v>
      </c>
      <c r="I99" s="70">
        <v>248917.09</v>
      </c>
      <c r="J99" s="121">
        <v>2.4841732825021346E-3</v>
      </c>
      <c r="K99" s="108">
        <v>5.5046457963057777E-4</v>
      </c>
      <c r="L99" s="125">
        <v>5.5775256412013841</v>
      </c>
      <c r="M99" s="125">
        <v>6.1707254457699143</v>
      </c>
      <c r="N99" s="125">
        <v>127.94092173420523</v>
      </c>
      <c r="O99" s="126">
        <v>110.72253604603847</v>
      </c>
    </row>
    <row r="100" spans="1:15" x14ac:dyDescent="0.2">
      <c r="A100" s="12"/>
      <c r="B100" s="50" t="s">
        <v>106</v>
      </c>
      <c r="C100" s="7"/>
      <c r="D100" s="7"/>
      <c r="E100" s="7"/>
      <c r="F100" s="78">
        <v>231</v>
      </c>
      <c r="G100" s="78">
        <v>356</v>
      </c>
      <c r="H100" s="70">
        <v>1148022.33</v>
      </c>
      <c r="I100" s="70">
        <v>1660477.6800000004</v>
      </c>
      <c r="J100" s="121">
        <v>2.5108150490178683E-3</v>
      </c>
      <c r="K100" s="108">
        <v>3.6720425588582816E-3</v>
      </c>
      <c r="L100" s="125">
        <v>5.0510499492636169</v>
      </c>
      <c r="M100" s="125">
        <v>5.3108968379508692</v>
      </c>
      <c r="N100" s="125">
        <v>153.17287162001458</v>
      </c>
      <c r="O100" s="126">
        <v>161.07216107837112</v>
      </c>
    </row>
    <row r="101" spans="1:15" x14ac:dyDescent="0.2">
      <c r="A101" s="12"/>
      <c r="B101" s="50" t="s">
        <v>107</v>
      </c>
      <c r="C101" s="7"/>
      <c r="D101" s="7"/>
      <c r="E101" s="7"/>
      <c r="F101" s="78">
        <v>20</v>
      </c>
      <c r="G101" s="78">
        <v>11</v>
      </c>
      <c r="H101" s="70">
        <v>39312.450000000004</v>
      </c>
      <c r="I101" s="70">
        <v>30986.409999999996</v>
      </c>
      <c r="J101" s="136">
        <v>8.5979417380986406E-5</v>
      </c>
      <c r="K101" s="108">
        <v>6.852450811999581E-5</v>
      </c>
      <c r="L101" s="125">
        <v>4.058326273228964</v>
      </c>
      <c r="M101" s="125">
        <v>5.6742348468247865</v>
      </c>
      <c r="N101" s="125">
        <v>94.658954860355934</v>
      </c>
      <c r="O101" s="126">
        <v>102.30129885972593</v>
      </c>
    </row>
    <row r="102" spans="1:15" x14ac:dyDescent="0.2">
      <c r="A102" s="30"/>
      <c r="B102" s="31" t="s">
        <v>86</v>
      </c>
      <c r="C102" s="137"/>
      <c r="D102" s="137"/>
      <c r="E102" s="138"/>
      <c r="F102" s="139">
        <v>86990</v>
      </c>
      <c r="G102" s="284">
        <v>85987</v>
      </c>
      <c r="H102" s="114">
        <v>457230941.98000008</v>
      </c>
      <c r="I102" s="114">
        <v>452194562.94000012</v>
      </c>
      <c r="J102" s="140"/>
      <c r="K102" s="140"/>
      <c r="L102" s="141">
        <v>5.0836993778093822</v>
      </c>
      <c r="M102" s="141">
        <v>5.0849639066550774</v>
      </c>
      <c r="N102" s="141">
        <v>157.09418599350141</v>
      </c>
      <c r="O102" s="142">
        <v>156.86292781678526</v>
      </c>
    </row>
    <row r="103" spans="1:15" s="42" customFormat="1" ht="11.25" x14ac:dyDescent="0.2">
      <c r="A103" s="39"/>
      <c r="B103" s="143"/>
      <c r="C103" s="40"/>
      <c r="D103" s="40"/>
      <c r="E103" s="40"/>
      <c r="F103" s="40"/>
      <c r="G103" s="40"/>
      <c r="H103" s="40"/>
      <c r="I103" s="40"/>
      <c r="J103" s="144"/>
      <c r="K103" s="144"/>
      <c r="N103" s="40"/>
      <c r="O103" s="145"/>
    </row>
    <row r="104" spans="1:15" s="42" customFormat="1" ht="11.25" x14ac:dyDescent="0.2">
      <c r="A104" s="39"/>
      <c r="B104" s="143"/>
      <c r="C104" s="40"/>
      <c r="D104" s="40"/>
      <c r="E104" s="40"/>
      <c r="F104" s="40"/>
      <c r="G104" s="40"/>
      <c r="H104" s="40"/>
      <c r="I104" s="40"/>
      <c r="J104" s="144"/>
      <c r="K104" s="144"/>
      <c r="N104" s="40"/>
      <c r="O104" s="145"/>
    </row>
    <row r="105" spans="1:15" ht="6.75" customHeight="1" thickBot="1" x14ac:dyDescent="0.25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5"/>
    </row>
    <row r="106" spans="1:15" ht="12.75" customHeight="1" thickBot="1" x14ac:dyDescent="0.25">
      <c r="A106" s="14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5" ht="15.75" x14ac:dyDescent="0.25">
      <c r="A107" s="8" t="s">
        <v>108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1"/>
    </row>
    <row r="108" spans="1:15" ht="6.75" customHeight="1" x14ac:dyDescent="0.2">
      <c r="A108" s="1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3"/>
    </row>
    <row r="109" spans="1:15" s="57" customFormat="1" x14ac:dyDescent="0.2">
      <c r="A109" s="52"/>
      <c r="B109" s="15"/>
      <c r="C109" s="15"/>
      <c r="D109" s="15"/>
      <c r="E109" s="118"/>
      <c r="F109" s="330" t="s">
        <v>76</v>
      </c>
      <c r="G109" s="330"/>
      <c r="H109" s="330" t="s">
        <v>74</v>
      </c>
      <c r="I109" s="330"/>
      <c r="J109" s="330" t="s">
        <v>75</v>
      </c>
      <c r="K109" s="330"/>
      <c r="L109" s="330" t="s">
        <v>88</v>
      </c>
      <c r="M109" s="330"/>
      <c r="N109" s="330" t="s">
        <v>89</v>
      </c>
      <c r="O109" s="331"/>
    </row>
    <row r="110" spans="1:15" s="57" customFormat="1" x14ac:dyDescent="0.2">
      <c r="A110" s="52"/>
      <c r="B110" s="15"/>
      <c r="C110" s="15"/>
      <c r="D110" s="15"/>
      <c r="E110" s="118"/>
      <c r="F110" s="85" t="s">
        <v>90</v>
      </c>
      <c r="G110" s="85" t="s">
        <v>91</v>
      </c>
      <c r="H110" s="147" t="s">
        <v>90</v>
      </c>
      <c r="I110" s="148" t="s">
        <v>91</v>
      </c>
      <c r="J110" s="85" t="s">
        <v>90</v>
      </c>
      <c r="K110" s="85" t="s">
        <v>91</v>
      </c>
      <c r="L110" s="85" t="s">
        <v>90</v>
      </c>
      <c r="M110" s="85" t="s">
        <v>91</v>
      </c>
      <c r="N110" s="85" t="s">
        <v>90</v>
      </c>
      <c r="O110" s="94" t="s">
        <v>91</v>
      </c>
    </row>
    <row r="111" spans="1:15" x14ac:dyDescent="0.2">
      <c r="A111" s="12"/>
      <c r="B111" s="7" t="s">
        <v>95</v>
      </c>
      <c r="C111" s="7"/>
      <c r="D111" s="7"/>
      <c r="E111" s="7"/>
      <c r="F111" s="149">
        <v>47997</v>
      </c>
      <c r="G111" s="149">
        <v>47154</v>
      </c>
      <c r="H111" s="150">
        <v>261856707.27000022</v>
      </c>
      <c r="I111" s="151">
        <v>252015366.11000013</v>
      </c>
      <c r="J111" s="108">
        <v>0.80129578080714103</v>
      </c>
      <c r="K111" s="108">
        <v>0.7760438437349928</v>
      </c>
      <c r="L111" s="152">
        <v>4.9900276383480673</v>
      </c>
      <c r="M111" s="152">
        <v>4.9653419691443794</v>
      </c>
      <c r="N111" s="71">
        <v>158.10355430927342</v>
      </c>
      <c r="O111" s="153">
        <v>154.81992972825236</v>
      </c>
    </row>
    <row r="112" spans="1:15" x14ac:dyDescent="0.2">
      <c r="A112" s="12"/>
      <c r="B112" s="50" t="s">
        <v>96</v>
      </c>
      <c r="C112" s="7"/>
      <c r="D112" s="7"/>
      <c r="E112" s="7"/>
      <c r="F112" s="149">
        <v>4507</v>
      </c>
      <c r="G112" s="149">
        <v>3322</v>
      </c>
      <c r="H112" s="150">
        <v>20253350.52</v>
      </c>
      <c r="I112" s="154">
        <v>20612235.080000002</v>
      </c>
      <c r="J112" s="108">
        <v>6.1976355267274047E-2</v>
      </c>
      <c r="K112" s="108">
        <v>6.3472312765525951E-2</v>
      </c>
      <c r="L112" s="152">
        <v>4.7185405793342285</v>
      </c>
      <c r="M112" s="152">
        <v>5.270982027913103</v>
      </c>
      <c r="N112" s="71">
        <v>143.83304280066346</v>
      </c>
      <c r="O112" s="155">
        <v>182.28501542152989</v>
      </c>
    </row>
    <row r="113" spans="1:15" x14ac:dyDescent="0.2">
      <c r="A113" s="12"/>
      <c r="B113" s="50" t="s">
        <v>97</v>
      </c>
      <c r="C113" s="7"/>
      <c r="D113" s="7"/>
      <c r="E113" s="7"/>
      <c r="F113" s="149">
        <v>2027</v>
      </c>
      <c r="G113" s="149">
        <v>3264</v>
      </c>
      <c r="H113" s="150">
        <v>10553275.08</v>
      </c>
      <c r="I113" s="154">
        <v>14181834.650000004</v>
      </c>
      <c r="J113" s="108">
        <v>3.229359630869362E-2</v>
      </c>
      <c r="K113" s="108">
        <v>4.3670850880562218E-2</v>
      </c>
      <c r="L113" s="152">
        <v>5.1369560327617254</v>
      </c>
      <c r="M113" s="152">
        <v>4.6559154051693845</v>
      </c>
      <c r="N113" s="71">
        <v>155.10106596785494</v>
      </c>
      <c r="O113" s="155">
        <v>136.82688550736992</v>
      </c>
    </row>
    <row r="114" spans="1:15" x14ac:dyDescent="0.2">
      <c r="A114" s="12"/>
      <c r="B114" s="50" t="s">
        <v>98</v>
      </c>
      <c r="C114" s="7"/>
      <c r="D114" s="7"/>
      <c r="E114" s="7"/>
      <c r="F114" s="149">
        <v>2369</v>
      </c>
      <c r="G114" s="149">
        <v>1559</v>
      </c>
      <c r="H114" s="150">
        <v>12914625.260000002</v>
      </c>
      <c r="I114" s="154">
        <v>8152009.6599999992</v>
      </c>
      <c r="J114" s="108">
        <v>3.951945642115276E-2</v>
      </c>
      <c r="K114" s="108">
        <v>2.5102901495101169E-2</v>
      </c>
      <c r="L114" s="152">
        <v>5.1169227473929793</v>
      </c>
      <c r="M114" s="152">
        <v>5.0862076984400915</v>
      </c>
      <c r="N114" s="71">
        <v>166.41631544483542</v>
      </c>
      <c r="O114" s="155">
        <v>153.39451053594567</v>
      </c>
    </row>
    <row r="115" spans="1:15" x14ac:dyDescent="0.2">
      <c r="A115" s="12"/>
      <c r="B115" s="50" t="s">
        <v>99</v>
      </c>
      <c r="C115" s="7"/>
      <c r="D115" s="7"/>
      <c r="E115" s="7"/>
      <c r="F115" s="149">
        <v>1981</v>
      </c>
      <c r="G115" s="149">
        <v>3145</v>
      </c>
      <c r="H115" s="150">
        <v>9393030.2100000009</v>
      </c>
      <c r="I115" s="154">
        <v>16092805.39000001</v>
      </c>
      <c r="J115" s="108">
        <v>2.874318383796963E-2</v>
      </c>
      <c r="K115" s="108">
        <v>4.9555401101549164E-2</v>
      </c>
      <c r="L115" s="152">
        <v>5.0644841777954852</v>
      </c>
      <c r="M115" s="152">
        <v>5.056818412097253</v>
      </c>
      <c r="N115" s="71">
        <v>147.83674742274687</v>
      </c>
      <c r="O115" s="155">
        <v>160.46044980601096</v>
      </c>
    </row>
    <row r="116" spans="1:15" x14ac:dyDescent="0.2">
      <c r="A116" s="12"/>
      <c r="B116" s="50" t="s">
        <v>100</v>
      </c>
      <c r="C116" s="7"/>
      <c r="D116" s="7"/>
      <c r="E116" s="7"/>
      <c r="F116" s="149">
        <v>1640</v>
      </c>
      <c r="G116" s="149">
        <v>1846</v>
      </c>
      <c r="H116" s="150">
        <v>8848548.8600000013</v>
      </c>
      <c r="I116" s="154">
        <v>9920143.7999999933</v>
      </c>
      <c r="J116" s="108">
        <v>2.7077041263155546E-2</v>
      </c>
      <c r="K116" s="108">
        <v>3.054760764704963E-2</v>
      </c>
      <c r="L116" s="152">
        <v>5.4088740521007868</v>
      </c>
      <c r="M116" s="156">
        <v>5.3263594719917302</v>
      </c>
      <c r="N116" s="71">
        <v>152.91709424091943</v>
      </c>
      <c r="O116" s="155">
        <v>153.20000646159991</v>
      </c>
    </row>
    <row r="117" spans="1:15" x14ac:dyDescent="0.2">
      <c r="A117" s="12"/>
      <c r="B117" s="50" t="s">
        <v>101</v>
      </c>
      <c r="C117" s="7"/>
      <c r="D117" s="7"/>
      <c r="E117" s="7"/>
      <c r="F117" s="149">
        <v>614</v>
      </c>
      <c r="G117" s="149">
        <v>734</v>
      </c>
      <c r="H117" s="150">
        <v>2972034.0799999996</v>
      </c>
      <c r="I117" s="154">
        <v>3769327.13</v>
      </c>
      <c r="J117" s="108">
        <v>9.0945860946135427E-3</v>
      </c>
      <c r="K117" s="108">
        <v>1.1607082375219169E-2</v>
      </c>
      <c r="L117" s="152">
        <v>5.3692421805102581</v>
      </c>
      <c r="M117" s="152">
        <v>5.3768217680803954</v>
      </c>
      <c r="N117" s="71">
        <v>138.63199642380954</v>
      </c>
      <c r="O117" s="155">
        <v>139.68160644629432</v>
      </c>
    </row>
    <row r="118" spans="1:15" x14ac:dyDescent="0.2">
      <c r="A118" s="30"/>
      <c r="B118" s="31" t="s">
        <v>109</v>
      </c>
      <c r="C118" s="82"/>
      <c r="D118" s="82"/>
      <c r="E118" s="157"/>
      <c r="F118" s="139">
        <v>61135</v>
      </c>
      <c r="G118" s="139">
        <v>61024</v>
      </c>
      <c r="H118" s="158">
        <v>326791571.28000015</v>
      </c>
      <c r="I118" s="158">
        <v>324743721.82000011</v>
      </c>
      <c r="J118" s="140"/>
      <c r="K118" s="140"/>
      <c r="L118" s="159">
        <v>4.9998915708470024</v>
      </c>
      <c r="M118" s="160">
        <v>4.994600262485589</v>
      </c>
      <c r="N118" s="114">
        <v>156.8380542025526</v>
      </c>
      <c r="O118" s="161">
        <v>155.79597021802709</v>
      </c>
    </row>
    <row r="119" spans="1:15" s="42" customFormat="1" ht="11.25" x14ac:dyDescent="0.2">
      <c r="A119" s="39"/>
      <c r="B119" s="143"/>
      <c r="C119" s="40"/>
      <c r="D119" s="40"/>
      <c r="E119" s="40"/>
      <c r="F119" s="40"/>
      <c r="G119" s="40"/>
      <c r="H119" s="40"/>
      <c r="I119" s="40"/>
      <c r="J119" s="144"/>
      <c r="K119" s="144"/>
      <c r="N119" s="40"/>
      <c r="O119" s="145"/>
    </row>
    <row r="120" spans="1:15" s="42" customFormat="1" ht="11.25" x14ac:dyDescent="0.2">
      <c r="A120" s="39"/>
      <c r="B120" s="143"/>
      <c r="C120" s="40"/>
      <c r="D120" s="40"/>
      <c r="E120" s="40"/>
      <c r="F120" s="40"/>
      <c r="G120" s="40"/>
      <c r="H120" s="40"/>
      <c r="I120" s="40"/>
      <c r="J120" s="144"/>
      <c r="K120" s="144"/>
      <c r="N120" s="40"/>
      <c r="O120" s="145"/>
    </row>
    <row r="121" spans="1:15" ht="6.75" customHeight="1" thickBot="1" x14ac:dyDescent="0.25">
      <c r="A121" s="43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5"/>
    </row>
    <row r="122" spans="1:15" ht="12.75" customHeight="1" thickBot="1" x14ac:dyDescent="0.25">
      <c r="A122" s="4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5" ht="15.75" x14ac:dyDescent="0.25">
      <c r="A123" s="8" t="s">
        <v>110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1"/>
    </row>
    <row r="124" spans="1:15" ht="6.75" customHeight="1" x14ac:dyDescent="0.2">
      <c r="A124" s="1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3"/>
    </row>
    <row r="125" spans="1:15" ht="12.75" customHeight="1" x14ac:dyDescent="0.2">
      <c r="A125" s="14"/>
      <c r="B125" s="105"/>
      <c r="C125" s="105"/>
      <c r="D125" s="105"/>
      <c r="E125" s="105"/>
      <c r="F125" s="332" t="s">
        <v>76</v>
      </c>
      <c r="G125" s="333"/>
      <c r="H125" s="332" t="s">
        <v>74</v>
      </c>
      <c r="I125" s="333"/>
      <c r="J125" s="332" t="s">
        <v>75</v>
      </c>
      <c r="K125" s="333"/>
      <c r="L125" s="332" t="s">
        <v>88</v>
      </c>
      <c r="M125" s="333"/>
      <c r="N125" s="332" t="s">
        <v>89</v>
      </c>
      <c r="O125" s="334"/>
    </row>
    <row r="126" spans="1:15" x14ac:dyDescent="0.2">
      <c r="A126" s="14"/>
      <c r="B126" s="105"/>
      <c r="C126" s="105"/>
      <c r="D126" s="105"/>
      <c r="E126" s="105"/>
      <c r="F126" s="85" t="s">
        <v>90</v>
      </c>
      <c r="G126" s="85" t="s">
        <v>91</v>
      </c>
      <c r="H126" s="85" t="s">
        <v>90</v>
      </c>
      <c r="I126" s="162" t="s">
        <v>91</v>
      </c>
      <c r="J126" s="85" t="s">
        <v>90</v>
      </c>
      <c r="K126" s="85" t="s">
        <v>91</v>
      </c>
      <c r="L126" s="85" t="s">
        <v>90</v>
      </c>
      <c r="M126" s="85" t="s">
        <v>91</v>
      </c>
      <c r="N126" s="85" t="s">
        <v>90</v>
      </c>
      <c r="O126" s="94" t="s">
        <v>91</v>
      </c>
    </row>
    <row r="127" spans="1:15" x14ac:dyDescent="0.2">
      <c r="A127" s="12"/>
      <c r="B127" s="7" t="s">
        <v>111</v>
      </c>
      <c r="C127" s="7"/>
      <c r="D127" s="7"/>
      <c r="E127" s="7"/>
      <c r="F127" s="78">
        <v>8112</v>
      </c>
      <c r="G127" s="78">
        <v>8079</v>
      </c>
      <c r="H127" s="125">
        <v>110565607.96000005</v>
      </c>
      <c r="I127" s="125">
        <v>109965499.94000006</v>
      </c>
      <c r="J127" s="108">
        <v>0.24181567301898904</v>
      </c>
      <c r="K127" s="108">
        <v>0.24318182692212278</v>
      </c>
      <c r="L127" s="125">
        <v>4.9098790992473447</v>
      </c>
      <c r="M127" s="125">
        <v>4.9109059069538548</v>
      </c>
      <c r="N127" s="125">
        <v>203.72885985295846</v>
      </c>
      <c r="O127" s="124">
        <v>203.08544078129157</v>
      </c>
    </row>
    <row r="128" spans="1:15" x14ac:dyDescent="0.2">
      <c r="A128" s="12"/>
      <c r="B128" s="7" t="s">
        <v>112</v>
      </c>
      <c r="C128" s="7"/>
      <c r="D128" s="7"/>
      <c r="E128" s="7"/>
      <c r="F128" s="78">
        <v>7420</v>
      </c>
      <c r="G128" s="78">
        <v>7385</v>
      </c>
      <c r="H128" s="125">
        <v>103233387.75999995</v>
      </c>
      <c r="I128" s="125">
        <v>102619294.11</v>
      </c>
      <c r="J128" s="108">
        <v>0.22577953126478373</v>
      </c>
      <c r="K128" s="108">
        <v>0.22693615209083387</v>
      </c>
      <c r="L128" s="125">
        <v>4.7822340123563167</v>
      </c>
      <c r="M128" s="125">
        <v>4.7839404726908032</v>
      </c>
      <c r="N128" s="125">
        <v>203.23981982609689</v>
      </c>
      <c r="O128" s="126">
        <v>202.55091058918623</v>
      </c>
    </row>
    <row r="129" spans="1:15" x14ac:dyDescent="0.2">
      <c r="A129" s="12"/>
      <c r="B129" s="7" t="s">
        <v>113</v>
      </c>
      <c r="C129" s="7"/>
      <c r="D129" s="7"/>
      <c r="E129" s="7"/>
      <c r="F129" s="78">
        <v>39890</v>
      </c>
      <c r="G129" s="78">
        <v>39373</v>
      </c>
      <c r="H129" s="125">
        <v>112514288.84000006</v>
      </c>
      <c r="I129" s="125">
        <v>110734051.28999998</v>
      </c>
      <c r="J129" s="108">
        <v>0.2460775912338006</v>
      </c>
      <c r="K129" s="108">
        <v>0.24488143017476494</v>
      </c>
      <c r="L129" s="125">
        <v>5.0300482864492659</v>
      </c>
      <c r="M129" s="125">
        <v>5.0327619938477612</v>
      </c>
      <c r="N129" s="125">
        <v>112.75624057208408</v>
      </c>
      <c r="O129" s="126">
        <v>112.43783164451402</v>
      </c>
    </row>
    <row r="130" spans="1:15" x14ac:dyDescent="0.2">
      <c r="A130" s="12"/>
      <c r="B130" s="50" t="s">
        <v>114</v>
      </c>
      <c r="C130" s="7"/>
      <c r="D130" s="7"/>
      <c r="E130" s="7"/>
      <c r="F130" s="78">
        <v>28654</v>
      </c>
      <c r="G130" s="78">
        <v>28278</v>
      </c>
      <c r="H130" s="125">
        <v>111748219.84999999</v>
      </c>
      <c r="I130" s="125">
        <v>110125435.77</v>
      </c>
      <c r="J130" s="108">
        <v>0.24440213815382603</v>
      </c>
      <c r="K130" s="108">
        <v>0.2435355150093039</v>
      </c>
      <c r="L130" s="125">
        <v>5.1988675906634594</v>
      </c>
      <c r="M130" s="125">
        <v>5.2045734808727753</v>
      </c>
      <c r="N130" s="125">
        <v>120.62779906412975</v>
      </c>
      <c r="O130" s="126">
        <v>120.5255962769662</v>
      </c>
    </row>
    <row r="131" spans="1:15" x14ac:dyDescent="0.2">
      <c r="A131" s="12"/>
      <c r="B131" s="50" t="s">
        <v>115</v>
      </c>
      <c r="C131" s="7"/>
      <c r="D131" s="7"/>
      <c r="E131" s="7"/>
      <c r="F131" s="78">
        <v>2893</v>
      </c>
      <c r="G131" s="78">
        <v>2851</v>
      </c>
      <c r="H131" s="125">
        <v>19097044.339999996</v>
      </c>
      <c r="I131" s="125">
        <v>18677881.420000006</v>
      </c>
      <c r="J131" s="108">
        <v>4.1766736645822471E-2</v>
      </c>
      <c r="K131" s="108">
        <v>4.1304966823491641E-2</v>
      </c>
      <c r="L131" s="125">
        <v>7.368544691481822</v>
      </c>
      <c r="M131" s="125">
        <v>7.3746804896569413</v>
      </c>
      <c r="N131" s="125">
        <v>112.47064199935777</v>
      </c>
      <c r="O131" s="126">
        <v>111.555576328849</v>
      </c>
    </row>
    <row r="132" spans="1:15" x14ac:dyDescent="0.2">
      <c r="A132" s="12"/>
      <c r="B132" s="50" t="s">
        <v>116</v>
      </c>
      <c r="C132" s="7"/>
      <c r="D132" s="7"/>
      <c r="E132" s="7"/>
      <c r="F132" s="78">
        <v>21</v>
      </c>
      <c r="G132" s="78">
        <v>21</v>
      </c>
      <c r="H132" s="125">
        <v>72393.229999999981</v>
      </c>
      <c r="I132" s="125">
        <v>72400.41</v>
      </c>
      <c r="J132" s="108">
        <v>1.5832968277804471E-4</v>
      </c>
      <c r="K132" s="108">
        <v>1.6010897948281287E-4</v>
      </c>
      <c r="L132" s="125">
        <v>3.3254562090957958</v>
      </c>
      <c r="M132" s="125">
        <v>3.3253777968936911</v>
      </c>
      <c r="N132" s="125">
        <v>100.77457629670623</v>
      </c>
      <c r="O132" s="126">
        <v>100.65328967059718</v>
      </c>
    </row>
    <row r="133" spans="1:15" x14ac:dyDescent="0.2">
      <c r="A133" s="30"/>
      <c r="B133" s="31" t="s">
        <v>86</v>
      </c>
      <c r="C133" s="82"/>
      <c r="D133" s="82"/>
      <c r="E133" s="82"/>
      <c r="F133" s="139">
        <v>86990</v>
      </c>
      <c r="G133" s="139">
        <v>85987</v>
      </c>
      <c r="H133" s="158">
        <v>457230941.98000008</v>
      </c>
      <c r="I133" s="158">
        <v>452194562.94000006</v>
      </c>
      <c r="J133" s="140"/>
      <c r="K133" s="140"/>
      <c r="L133" s="159">
        <v>5.0836993778093822</v>
      </c>
      <c r="M133" s="160">
        <v>5.0849639066550774</v>
      </c>
      <c r="N133" s="114">
        <v>157.09418599350141</v>
      </c>
      <c r="O133" s="161">
        <v>156.86292781678526</v>
      </c>
    </row>
    <row r="134" spans="1:15" s="42" customFormat="1" ht="11.25" x14ac:dyDescent="0.2">
      <c r="A134" s="39"/>
      <c r="B134" s="143"/>
      <c r="C134" s="40"/>
      <c r="D134" s="40"/>
      <c r="E134" s="40"/>
      <c r="F134" s="163"/>
      <c r="G134" s="163"/>
      <c r="H134" s="163"/>
      <c r="I134" s="163"/>
      <c r="J134" s="163"/>
      <c r="K134" s="163"/>
      <c r="L134" s="163"/>
      <c r="M134" s="163"/>
      <c r="N134" s="164"/>
      <c r="O134" s="41"/>
    </row>
    <row r="135" spans="1:15" s="42" customFormat="1" ht="11.25" x14ac:dyDescent="0.2">
      <c r="A135" s="39"/>
      <c r="B135" s="1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1"/>
    </row>
    <row r="136" spans="1:15" ht="6.75" customHeight="1" thickBot="1" x14ac:dyDescent="0.25">
      <c r="A136" s="43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5"/>
    </row>
    <row r="137" spans="1:15" ht="13.5" thickBot="1" x14ac:dyDescent="0.25"/>
    <row r="138" spans="1:15" ht="15.75" x14ac:dyDescent="0.25">
      <c r="A138" s="8" t="s">
        <v>117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1"/>
    </row>
    <row r="139" spans="1:15" ht="6.75" customHeight="1" x14ac:dyDescent="0.2">
      <c r="A139" s="1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3"/>
    </row>
    <row r="140" spans="1:15" ht="12.75" customHeight="1" x14ac:dyDescent="0.2">
      <c r="A140" s="14"/>
      <c r="B140" s="105"/>
      <c r="C140" s="105"/>
      <c r="D140" s="105"/>
      <c r="E140" s="105"/>
      <c r="F140" s="332" t="s">
        <v>76</v>
      </c>
      <c r="G140" s="333"/>
      <c r="H140" s="332" t="s">
        <v>74</v>
      </c>
      <c r="I140" s="333"/>
      <c r="J140" s="332" t="s">
        <v>75</v>
      </c>
      <c r="K140" s="333"/>
      <c r="L140" s="332" t="s">
        <v>88</v>
      </c>
      <c r="M140" s="333"/>
      <c r="N140" s="332" t="s">
        <v>89</v>
      </c>
      <c r="O140" s="334"/>
    </row>
    <row r="141" spans="1:15" x14ac:dyDescent="0.2">
      <c r="A141" s="14"/>
      <c r="B141" s="105"/>
      <c r="C141" s="105"/>
      <c r="D141" s="105"/>
      <c r="E141" s="105"/>
      <c r="F141" s="264" t="s">
        <v>90</v>
      </c>
      <c r="G141" s="264" t="s">
        <v>91</v>
      </c>
      <c r="H141" s="264" t="s">
        <v>90</v>
      </c>
      <c r="I141" s="162" t="s">
        <v>91</v>
      </c>
      <c r="J141" s="264" t="s">
        <v>90</v>
      </c>
      <c r="K141" s="264" t="s">
        <v>91</v>
      </c>
      <c r="L141" s="264" t="s">
        <v>90</v>
      </c>
      <c r="M141" s="264" t="s">
        <v>91</v>
      </c>
      <c r="N141" s="264" t="s">
        <v>90</v>
      </c>
      <c r="O141" s="265" t="s">
        <v>91</v>
      </c>
    </row>
    <row r="142" spans="1:15" x14ac:dyDescent="0.2">
      <c r="A142" s="12"/>
      <c r="B142" s="7" t="s">
        <v>118</v>
      </c>
      <c r="C142" s="7"/>
      <c r="D142" s="7"/>
      <c r="E142" s="7"/>
      <c r="F142" s="78">
        <v>66954</v>
      </c>
      <c r="G142" s="78">
        <v>66152</v>
      </c>
      <c r="H142" s="125">
        <v>356877689.3700006</v>
      </c>
      <c r="I142" s="125">
        <v>352503921.34999979</v>
      </c>
      <c r="J142" s="108">
        <v>0.78051955063358458</v>
      </c>
      <c r="K142" s="108">
        <v>0.77954037982710633</v>
      </c>
      <c r="L142" s="125">
        <v>5.0311087814504374</v>
      </c>
      <c r="M142" s="125">
        <v>5.032067405546611</v>
      </c>
      <c r="N142" s="71">
        <v>150.82612196453172</v>
      </c>
      <c r="O142" s="153">
        <v>150.54729620856756</v>
      </c>
    </row>
    <row r="143" spans="1:15" x14ac:dyDescent="0.2">
      <c r="A143" s="12"/>
      <c r="B143" s="7" t="s">
        <v>119</v>
      </c>
      <c r="C143" s="7"/>
      <c r="D143" s="7"/>
      <c r="E143" s="7"/>
      <c r="F143" s="78">
        <v>12856</v>
      </c>
      <c r="G143" s="78">
        <v>12718</v>
      </c>
      <c r="H143" s="125">
        <v>35847200.979999982</v>
      </c>
      <c r="I143" s="125">
        <v>35460902.270000018</v>
      </c>
      <c r="J143" s="108">
        <v>7.8400645469807143E-2</v>
      </c>
      <c r="K143" s="108">
        <v>7.8419567982964025E-2</v>
      </c>
      <c r="L143" s="125">
        <v>4.9251474667791522</v>
      </c>
      <c r="M143" s="125">
        <v>4.9194808062428876</v>
      </c>
      <c r="N143" s="71">
        <v>119.9763733609084</v>
      </c>
      <c r="O143" s="155">
        <v>119.41334704200123</v>
      </c>
    </row>
    <row r="144" spans="1:15" x14ac:dyDescent="0.2">
      <c r="A144" s="12"/>
      <c r="B144" s="7" t="s">
        <v>120</v>
      </c>
      <c r="C144" s="7"/>
      <c r="D144" s="7"/>
      <c r="E144" s="7"/>
      <c r="F144" s="78">
        <v>4377</v>
      </c>
      <c r="G144" s="78">
        <v>4326</v>
      </c>
      <c r="H144" s="125">
        <v>14790957.899999991</v>
      </c>
      <c r="I144" s="125">
        <v>14579973.099999996</v>
      </c>
      <c r="J144" s="108">
        <v>3.2348987222844058E-2</v>
      </c>
      <c r="K144" s="108">
        <v>3.2242698817974431E-2</v>
      </c>
      <c r="L144" s="125">
        <v>4.5016484729024935</v>
      </c>
      <c r="M144" s="125">
        <v>4.5012456309470155</v>
      </c>
      <c r="N144" s="71">
        <v>128.4701853339736</v>
      </c>
      <c r="O144" s="155">
        <v>127.98517308924251</v>
      </c>
    </row>
    <row r="145" spans="1:15" x14ac:dyDescent="0.2">
      <c r="A145" s="12"/>
      <c r="B145" s="7" t="s">
        <v>121</v>
      </c>
      <c r="C145" s="7"/>
      <c r="D145" s="7"/>
      <c r="E145" s="7"/>
      <c r="F145" s="78">
        <v>2775</v>
      </c>
      <c r="G145" s="78">
        <v>2765</v>
      </c>
      <c r="H145" s="125">
        <v>49655178.600000001</v>
      </c>
      <c r="I145" s="125">
        <v>49589784.449999996</v>
      </c>
      <c r="J145" s="108">
        <v>0.10859977757623397</v>
      </c>
      <c r="K145" s="108">
        <v>0.10966470743828889</v>
      </c>
      <c r="L145" s="125">
        <v>5.748653515250874</v>
      </c>
      <c r="M145" s="125">
        <v>5.7500641632321097</v>
      </c>
      <c r="N145" s="71">
        <v>237.51934652652722</v>
      </c>
      <c r="O145" s="155">
        <v>237.08107295937242</v>
      </c>
    </row>
    <row r="146" spans="1:15" x14ac:dyDescent="0.2">
      <c r="A146" s="12"/>
      <c r="B146" s="7" t="s">
        <v>122</v>
      </c>
      <c r="C146" s="7"/>
      <c r="D146" s="7"/>
      <c r="E146" s="7"/>
      <c r="F146" s="78">
        <v>28</v>
      </c>
      <c r="G146" s="78">
        <v>26</v>
      </c>
      <c r="H146" s="125">
        <v>59915.130000000012</v>
      </c>
      <c r="I146" s="125">
        <v>59981.77</v>
      </c>
      <c r="J146" s="108">
        <v>1.3103909753032575E-4</v>
      </c>
      <c r="K146" s="108">
        <v>1.3264593366629836E-4</v>
      </c>
      <c r="L146" s="125">
        <v>5.7968198583563098</v>
      </c>
      <c r="M146" s="125">
        <v>5.7988893875589191</v>
      </c>
      <c r="N146" s="71">
        <v>112.90794028152821</v>
      </c>
      <c r="O146" s="155">
        <v>112.13587361626708</v>
      </c>
    </row>
    <row r="147" spans="1:15" x14ac:dyDescent="0.2">
      <c r="A147" s="30"/>
      <c r="B147" s="31" t="s">
        <v>86</v>
      </c>
      <c r="C147" s="82"/>
      <c r="D147" s="82"/>
      <c r="E147" s="82"/>
      <c r="F147" s="139">
        <v>86990</v>
      </c>
      <c r="G147" s="139">
        <v>85987</v>
      </c>
      <c r="H147" s="158">
        <v>457230941.98000056</v>
      </c>
      <c r="I147" s="158">
        <v>452194562.93999982</v>
      </c>
      <c r="J147" s="140"/>
      <c r="K147" s="140"/>
      <c r="L147" s="159">
        <v>5.0836993778093822</v>
      </c>
      <c r="M147" s="159">
        <v>5.0849639066550774</v>
      </c>
      <c r="N147" s="114">
        <v>157.09418599350141</v>
      </c>
      <c r="O147" s="161">
        <v>156.86292781678526</v>
      </c>
    </row>
    <row r="148" spans="1:15" s="42" customFormat="1" ht="11.25" x14ac:dyDescent="0.2">
      <c r="A148" s="39"/>
      <c r="B148" s="143"/>
      <c r="C148" s="40"/>
      <c r="D148" s="40"/>
      <c r="E148" s="40"/>
      <c r="F148" s="163"/>
      <c r="G148" s="163"/>
      <c r="H148" s="163"/>
      <c r="I148" s="163"/>
      <c r="J148" s="163"/>
      <c r="K148" s="163"/>
      <c r="L148" s="163"/>
      <c r="M148" s="163"/>
      <c r="N148" s="164"/>
      <c r="O148" s="41"/>
    </row>
    <row r="149" spans="1:15" s="42" customFormat="1" ht="11.25" x14ac:dyDescent="0.2">
      <c r="A149" s="39"/>
      <c r="B149" s="1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1"/>
    </row>
    <row r="150" spans="1:15" ht="6.75" customHeight="1" thickBot="1" x14ac:dyDescent="0.25">
      <c r="A150" s="43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5"/>
    </row>
    <row r="151" spans="1:15" ht="13.5" thickBot="1" x14ac:dyDescent="0.25"/>
    <row r="152" spans="1:15" ht="15.75" x14ac:dyDescent="0.25">
      <c r="A152" s="8" t="s">
        <v>123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1"/>
    </row>
    <row r="153" spans="1:15" ht="6.75" customHeight="1" x14ac:dyDescent="0.2">
      <c r="A153" s="30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165"/>
    </row>
    <row r="154" spans="1:15" x14ac:dyDescent="0.2">
      <c r="A154" s="58"/>
      <c r="B154" s="59"/>
      <c r="C154" s="59"/>
      <c r="D154" s="59"/>
      <c r="E154" s="166"/>
      <c r="F154" s="335" t="s">
        <v>76</v>
      </c>
      <c r="G154" s="335"/>
      <c r="H154" s="335" t="s">
        <v>74</v>
      </c>
      <c r="I154" s="335"/>
      <c r="J154" s="335" t="s">
        <v>75</v>
      </c>
      <c r="K154" s="336"/>
      <c r="L154" s="266" t="s">
        <v>124</v>
      </c>
    </row>
    <row r="155" spans="1:15" x14ac:dyDescent="0.2">
      <c r="A155" s="14"/>
      <c r="B155" s="105"/>
      <c r="C155" s="105"/>
      <c r="D155" s="105"/>
      <c r="E155" s="167"/>
      <c r="F155" s="264" t="s">
        <v>90</v>
      </c>
      <c r="G155" s="264" t="s">
        <v>91</v>
      </c>
      <c r="H155" s="264" t="s">
        <v>90</v>
      </c>
      <c r="I155" s="264" t="s">
        <v>91</v>
      </c>
      <c r="J155" s="264" t="s">
        <v>90</v>
      </c>
      <c r="K155" s="265" t="s">
        <v>91</v>
      </c>
      <c r="L155" s="168" t="s">
        <v>91</v>
      </c>
    </row>
    <row r="156" spans="1:15" x14ac:dyDescent="0.2">
      <c r="A156" s="58"/>
      <c r="B156" s="59"/>
      <c r="C156" s="59"/>
      <c r="D156" s="59"/>
      <c r="E156" s="166"/>
      <c r="F156" s="125"/>
      <c r="G156" s="125"/>
      <c r="H156" s="125"/>
      <c r="I156" s="125"/>
      <c r="J156" s="108"/>
      <c r="K156" s="169"/>
      <c r="L156" s="170"/>
    </row>
    <row r="157" spans="1:15" x14ac:dyDescent="0.2">
      <c r="A157" s="12"/>
      <c r="B157" s="7" t="s">
        <v>125</v>
      </c>
      <c r="C157" s="7"/>
      <c r="D157" s="7"/>
      <c r="E157" s="171"/>
      <c r="F157" s="78">
        <v>3664</v>
      </c>
      <c r="G157" s="78">
        <v>3624</v>
      </c>
      <c r="H157" s="125">
        <v>13030019.959999995</v>
      </c>
      <c r="I157" s="125">
        <v>12952917.770000007</v>
      </c>
      <c r="J157" s="108">
        <v>2.8497677570932949E-2</v>
      </c>
      <c r="K157" s="172">
        <v>2.8644567696225681E-2</v>
      </c>
      <c r="L157" s="173">
        <v>2.7234456243290106</v>
      </c>
    </row>
    <row r="158" spans="1:15" x14ac:dyDescent="0.2">
      <c r="A158" s="12"/>
      <c r="B158" s="7" t="s">
        <v>126</v>
      </c>
      <c r="C158" s="7"/>
      <c r="D158" s="7"/>
      <c r="E158" s="171"/>
      <c r="F158" s="78">
        <v>83326</v>
      </c>
      <c r="G158" s="78">
        <v>82363</v>
      </c>
      <c r="H158" s="125">
        <v>444200922.02000016</v>
      </c>
      <c r="I158" s="125">
        <v>439241645.16999978</v>
      </c>
      <c r="J158" s="108">
        <v>0.97150232242906709</v>
      </c>
      <c r="K158" s="172">
        <v>0.97135543230377441</v>
      </c>
      <c r="L158" s="174">
        <v>2.1726051392131933</v>
      </c>
    </row>
    <row r="159" spans="1:15" x14ac:dyDescent="0.2">
      <c r="A159" s="12"/>
      <c r="B159" s="7" t="s">
        <v>122</v>
      </c>
      <c r="C159" s="7"/>
      <c r="D159" s="7"/>
      <c r="E159" s="171"/>
      <c r="F159" s="78">
        <v>0</v>
      </c>
      <c r="G159" s="78">
        <v>0</v>
      </c>
      <c r="H159" s="125">
        <v>0</v>
      </c>
      <c r="I159" s="125">
        <v>0</v>
      </c>
      <c r="J159" s="108">
        <v>0</v>
      </c>
      <c r="K159" s="172">
        <v>0</v>
      </c>
      <c r="L159" s="174">
        <v>0</v>
      </c>
    </row>
    <row r="160" spans="1:15" x14ac:dyDescent="0.2">
      <c r="A160" s="12"/>
      <c r="B160" s="67" t="s">
        <v>86</v>
      </c>
      <c r="C160" s="7"/>
      <c r="D160" s="7"/>
      <c r="E160" s="171"/>
      <c r="F160" s="139">
        <v>86990</v>
      </c>
      <c r="G160" s="139">
        <v>85987</v>
      </c>
      <c r="H160" s="114">
        <v>457230941.98000014</v>
      </c>
      <c r="I160" s="114">
        <v>452194562.93999976</v>
      </c>
      <c r="J160" s="140"/>
      <c r="K160" s="175"/>
      <c r="L160" s="176">
        <v>2.1883837267789157</v>
      </c>
    </row>
    <row r="161" spans="1:12" s="180" customFormat="1" ht="11.25" x14ac:dyDescent="0.2">
      <c r="A161" s="177"/>
      <c r="B161" s="178"/>
      <c r="C161" s="178"/>
      <c r="D161" s="178"/>
      <c r="E161" s="178"/>
      <c r="F161" s="178"/>
      <c r="G161" s="178"/>
      <c r="H161" s="178"/>
      <c r="I161" s="178"/>
      <c r="J161" s="178"/>
      <c r="K161" s="179"/>
      <c r="L161" s="179"/>
    </row>
    <row r="162" spans="1:12" s="180" customFormat="1" ht="11.25" x14ac:dyDescent="0.2">
      <c r="A162" s="39"/>
      <c r="B162" s="181"/>
      <c r="C162" s="181"/>
      <c r="D162" s="181"/>
      <c r="E162" s="181"/>
      <c r="F162" s="181"/>
      <c r="G162" s="181"/>
      <c r="H162" s="181"/>
      <c r="I162" s="181"/>
      <c r="J162" s="181"/>
      <c r="K162" s="182"/>
      <c r="L162" s="182"/>
    </row>
    <row r="163" spans="1:12" ht="6.75" customHeight="1" thickBot="1" x14ac:dyDescent="0.25">
      <c r="A163" s="43"/>
      <c r="B163" s="44"/>
      <c r="C163" s="44"/>
      <c r="D163" s="44"/>
      <c r="E163" s="44"/>
      <c r="F163" s="44"/>
      <c r="G163" s="44"/>
      <c r="H163" s="44"/>
      <c r="I163" s="44"/>
      <c r="J163" s="44"/>
      <c r="K163" s="45"/>
      <c r="L163" s="45"/>
    </row>
  </sheetData>
  <mergeCells count="51">
    <mergeCell ref="F154:G154"/>
    <mergeCell ref="H154:I154"/>
    <mergeCell ref="J154:K154"/>
    <mergeCell ref="F125:G125"/>
    <mergeCell ref="H125:I125"/>
    <mergeCell ref="J125:K125"/>
    <mergeCell ref="L125:M125"/>
    <mergeCell ref="N125:O125"/>
    <mergeCell ref="F140:G140"/>
    <mergeCell ref="H140:I140"/>
    <mergeCell ref="J140:K140"/>
    <mergeCell ref="L140:M140"/>
    <mergeCell ref="N140:O140"/>
    <mergeCell ref="F84:G84"/>
    <mergeCell ref="H84:I84"/>
    <mergeCell ref="J84:K84"/>
    <mergeCell ref="L84:M84"/>
    <mergeCell ref="N84:O84"/>
    <mergeCell ref="F109:G109"/>
    <mergeCell ref="H109:I109"/>
    <mergeCell ref="J109:K109"/>
    <mergeCell ref="L109:M109"/>
    <mergeCell ref="N109:O109"/>
    <mergeCell ref="J37:O39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B8:C8"/>
    <mergeCell ref="D8:G8"/>
    <mergeCell ref="B9:C9"/>
    <mergeCell ref="D9:G9"/>
    <mergeCell ref="B11:C11"/>
    <mergeCell ref="D11:G11"/>
    <mergeCell ref="B4:C4"/>
    <mergeCell ref="D4:G4"/>
    <mergeCell ref="I4:J6"/>
    <mergeCell ref="B5:C5"/>
    <mergeCell ref="D5:G5"/>
    <mergeCell ref="L5:M7"/>
    <mergeCell ref="B6:C6"/>
    <mergeCell ref="D6:G6"/>
    <mergeCell ref="B7:C7"/>
    <mergeCell ref="D7:G7"/>
  </mergeCells>
  <hyperlinks>
    <hyperlink ref="D10" display="sballard@edsouth.org"/>
    <hyperlink ref="D11" display="www.edsouthservices.com"/>
  </hyperlinks>
  <pageMargins left="0.25" right="0.25" top="0.75" bottom="0.75" header="0.3" footer="0.3"/>
  <pageSetup scale="52" orientation="landscape" r:id="rId1"/>
  <headerFooter alignWithMargins="0"/>
  <rowBreaks count="1" manualBreakCount="1">
    <brk id="1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theme="7" tint="-0.249977111117893"/>
    <pageSetUpPr fitToPage="1"/>
  </sheetPr>
  <dimension ref="A1:AK79"/>
  <sheetViews>
    <sheetView showGridLines="0" zoomScale="85" zoomScaleNormal="85" workbookViewId="0">
      <selection activeCell="I2" sqref="I2"/>
    </sheetView>
  </sheetViews>
  <sheetFormatPr defaultRowHeight="12.75" x14ac:dyDescent="0.2"/>
  <cols>
    <col min="1" max="2" width="3.140625" customWidth="1"/>
    <col min="3" max="7" width="14.5703125" customWidth="1"/>
    <col min="8" max="8" width="15.42578125" bestFit="1" customWidth="1"/>
    <col min="9" max="13" width="14.5703125" customWidth="1"/>
    <col min="14" max="14" width="15.42578125" customWidth="1"/>
    <col min="15" max="20" width="14.5703125" customWidth="1"/>
    <col min="23" max="36" width="10.85546875" customWidth="1"/>
    <col min="37" max="37" width="2.7109375" customWidth="1"/>
  </cols>
  <sheetData>
    <row r="1" spans="1:37" ht="15.75" x14ac:dyDescent="0.25">
      <c r="A1" s="1" t="s">
        <v>0</v>
      </c>
    </row>
    <row r="2" spans="1:37" ht="15.75" customHeight="1" x14ac:dyDescent="0.25">
      <c r="A2" s="1" t="s">
        <v>127</v>
      </c>
      <c r="L2" s="297"/>
      <c r="M2" s="297"/>
      <c r="Q2" s="183"/>
      <c r="R2" s="183"/>
      <c r="S2" s="183"/>
    </row>
    <row r="3" spans="1:37" ht="13.5" thickBot="1" x14ac:dyDescent="0.25">
      <c r="L3" s="297"/>
      <c r="M3" s="297"/>
      <c r="P3" s="183"/>
      <c r="Q3" s="183"/>
      <c r="R3" s="183"/>
      <c r="S3" s="183"/>
    </row>
    <row r="4" spans="1:37" x14ac:dyDescent="0.2">
      <c r="B4" s="293" t="s">
        <v>6</v>
      </c>
      <c r="C4" s="294"/>
      <c r="D4" s="294"/>
      <c r="E4" s="343">
        <v>41299</v>
      </c>
      <c r="F4" s="344"/>
      <c r="G4" s="345"/>
      <c r="L4" s="297"/>
      <c r="M4" s="297"/>
      <c r="P4" s="183"/>
      <c r="Q4" s="183"/>
      <c r="R4" s="183"/>
      <c r="S4" s="183"/>
    </row>
    <row r="5" spans="1:37" ht="13.5" thickBot="1" x14ac:dyDescent="0.25">
      <c r="B5" s="298" t="s">
        <v>128</v>
      </c>
      <c r="C5" s="299"/>
      <c r="D5" s="299"/>
      <c r="E5" s="346">
        <v>41274</v>
      </c>
      <c r="F5" s="347"/>
      <c r="G5" s="348"/>
      <c r="P5" s="183"/>
      <c r="Q5" s="183"/>
      <c r="R5" s="183"/>
      <c r="S5" s="183"/>
    </row>
    <row r="6" spans="1:37" ht="13.5" thickBot="1" x14ac:dyDescent="0.25"/>
    <row r="7" spans="1:37" ht="15.75" thickBot="1" x14ac:dyDescent="0.3">
      <c r="A7" s="184" t="s">
        <v>129</v>
      </c>
      <c r="B7" s="185"/>
      <c r="C7" s="185"/>
      <c r="D7" s="185"/>
      <c r="E7" s="185"/>
      <c r="F7" s="185"/>
      <c r="G7" s="185"/>
      <c r="H7" s="185"/>
      <c r="I7" s="186"/>
      <c r="J7" s="187"/>
      <c r="K7" s="187"/>
      <c r="L7" s="187"/>
      <c r="M7" s="187"/>
      <c r="N7" s="187"/>
    </row>
    <row r="8" spans="1:37" ht="15.75" thickBot="1" x14ac:dyDescent="0.3">
      <c r="A8" s="188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Q8" s="6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</row>
    <row r="9" spans="1:37" ht="6" customHeight="1" x14ac:dyDescent="0.2">
      <c r="A9" s="189"/>
      <c r="B9" s="190"/>
      <c r="C9" s="190"/>
      <c r="D9" s="190"/>
      <c r="E9" s="190"/>
      <c r="F9" s="190"/>
      <c r="G9" s="190"/>
      <c r="H9" s="191"/>
      <c r="J9" s="192"/>
      <c r="K9" s="190"/>
      <c r="L9" s="190"/>
      <c r="M9" s="190"/>
      <c r="N9" s="191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</row>
    <row r="10" spans="1:37" x14ac:dyDescent="0.2">
      <c r="A10" s="193" t="s">
        <v>130</v>
      </c>
      <c r="B10" s="187"/>
      <c r="C10" s="187"/>
      <c r="D10" s="187"/>
      <c r="E10" s="187"/>
      <c r="F10" s="187"/>
      <c r="G10" s="187"/>
      <c r="H10" s="194" t="s">
        <v>201</v>
      </c>
      <c r="J10" s="193" t="s">
        <v>131</v>
      </c>
      <c r="K10" s="187"/>
      <c r="L10" s="187"/>
      <c r="M10" s="187"/>
      <c r="N10" s="194" t="s">
        <v>201</v>
      </c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</row>
    <row r="11" spans="1:37" x14ac:dyDescent="0.2">
      <c r="A11" s="193"/>
      <c r="B11" s="187"/>
      <c r="C11" s="187"/>
      <c r="D11" s="187"/>
      <c r="E11" s="187"/>
      <c r="F11" s="187"/>
      <c r="G11" s="187"/>
      <c r="H11" s="195"/>
      <c r="J11" s="186"/>
      <c r="K11" s="187"/>
      <c r="L11" s="187"/>
      <c r="M11" s="187"/>
      <c r="N11" s="196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</row>
    <row r="12" spans="1:37" x14ac:dyDescent="0.2">
      <c r="A12" s="186"/>
      <c r="B12" s="187" t="s">
        <v>132</v>
      </c>
      <c r="C12" s="187"/>
      <c r="D12" s="187"/>
      <c r="E12" s="187"/>
      <c r="F12" s="187"/>
      <c r="G12" s="187"/>
      <c r="H12" s="250">
        <f>1537628.14+5112576.43+99542.04+6060081.61+280476.74+251508.83</f>
        <v>13341813.789999999</v>
      </c>
      <c r="J12" s="186" t="s">
        <v>133</v>
      </c>
      <c r="L12" s="187"/>
      <c r="M12" s="187"/>
      <c r="N12" s="250">
        <v>0</v>
      </c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</row>
    <row r="13" spans="1:37" x14ac:dyDescent="0.2">
      <c r="A13" s="186"/>
      <c r="B13" s="187" t="s">
        <v>134</v>
      </c>
      <c r="C13" s="187"/>
      <c r="D13" s="187"/>
      <c r="E13" s="187"/>
      <c r="F13" s="187"/>
      <c r="G13" s="187"/>
      <c r="H13" s="250"/>
      <c r="J13" s="186" t="s">
        <v>135</v>
      </c>
      <c r="L13" s="187"/>
      <c r="M13" s="187"/>
      <c r="N13" s="250">
        <v>247594.62</v>
      </c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</row>
    <row r="14" spans="1:37" x14ac:dyDescent="0.2">
      <c r="A14" s="186"/>
      <c r="B14" s="187" t="s">
        <v>55</v>
      </c>
      <c r="C14" s="187"/>
      <c r="D14" s="187"/>
      <c r="E14" s="187"/>
      <c r="F14" s="187"/>
      <c r="G14" s="187"/>
      <c r="H14" s="250"/>
      <c r="J14" s="186" t="s">
        <v>136</v>
      </c>
      <c r="L14" s="187"/>
      <c r="M14" s="187"/>
      <c r="N14" s="250">
        <f>18828.94+56486.82+57153.87+56983.27</f>
        <v>189452.9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</row>
    <row r="15" spans="1:37" x14ac:dyDescent="0.2">
      <c r="A15" s="186"/>
      <c r="B15" s="187"/>
      <c r="C15" s="187" t="s">
        <v>137</v>
      </c>
      <c r="D15" s="187"/>
      <c r="E15" s="187"/>
      <c r="F15" s="187"/>
      <c r="G15" s="187"/>
      <c r="H15" s="250">
        <v>25138.85</v>
      </c>
      <c r="J15" s="186" t="s">
        <v>138</v>
      </c>
      <c r="L15" s="187"/>
      <c r="M15" s="187"/>
      <c r="N15" s="250">
        <v>0</v>
      </c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</row>
    <row r="16" spans="1:37" x14ac:dyDescent="0.2">
      <c r="A16" s="186"/>
      <c r="B16" s="187" t="s">
        <v>139</v>
      </c>
      <c r="C16" s="187"/>
      <c r="D16" s="187"/>
      <c r="E16" s="187"/>
      <c r="F16" s="187"/>
      <c r="G16" s="187"/>
      <c r="H16" s="250">
        <f>0.11+185.56+272.55+423.91+288.77</f>
        <v>1170.9000000000001</v>
      </c>
      <c r="J16" s="186" t="s">
        <v>140</v>
      </c>
      <c r="L16" s="187"/>
      <c r="M16" s="187"/>
      <c r="N16" s="261">
        <v>0</v>
      </c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</row>
    <row r="17" spans="1:29" ht="13.5" thickBot="1" x14ac:dyDescent="0.25">
      <c r="A17" s="186"/>
      <c r="B17" s="187" t="s">
        <v>141</v>
      </c>
      <c r="C17" s="187"/>
      <c r="D17" s="187"/>
      <c r="E17" s="187"/>
      <c r="F17" s="187"/>
      <c r="G17" s="187"/>
      <c r="H17" s="250"/>
      <c r="J17" s="197"/>
      <c r="K17" s="198" t="s">
        <v>142</v>
      </c>
      <c r="L17" s="199"/>
      <c r="M17" s="199"/>
      <c r="N17" s="253">
        <f>SUM(N12:N16)</f>
        <v>437047.52</v>
      </c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</row>
    <row r="18" spans="1:29" ht="13.5" thickBot="1" x14ac:dyDescent="0.25">
      <c r="A18" s="186"/>
      <c r="B18" s="187" t="s">
        <v>60</v>
      </c>
      <c r="C18" s="187"/>
      <c r="D18" s="187"/>
      <c r="E18" s="187"/>
      <c r="F18" s="187"/>
      <c r="G18" s="187"/>
      <c r="H18" s="250">
        <v>319773.87</v>
      </c>
      <c r="J18" s="201"/>
      <c r="K18" s="201"/>
      <c r="L18" s="201"/>
      <c r="M18" s="201"/>
      <c r="N18" s="201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</row>
    <row r="19" spans="1:29" x14ac:dyDescent="0.2">
      <c r="A19" s="186"/>
      <c r="B19" s="187" t="s">
        <v>143</v>
      </c>
      <c r="C19" s="187"/>
      <c r="D19" s="187"/>
      <c r="E19" s="187"/>
      <c r="F19" s="187"/>
      <c r="G19" s="187"/>
      <c r="H19" s="250"/>
      <c r="J19" s="202"/>
      <c r="K19" s="203"/>
      <c r="L19" s="203"/>
      <c r="M19" s="203"/>
      <c r="N19" s="204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</row>
    <row r="20" spans="1:29" x14ac:dyDescent="0.2">
      <c r="A20" s="186"/>
      <c r="B20" s="187" t="s">
        <v>208</v>
      </c>
      <c r="C20" s="187"/>
      <c r="D20" s="187"/>
      <c r="E20" s="187"/>
      <c r="F20" s="187"/>
      <c r="G20" s="187"/>
      <c r="H20" s="250">
        <f>60070.54+58150.3</f>
        <v>118220.84</v>
      </c>
      <c r="J20" s="80" t="s">
        <v>144</v>
      </c>
      <c r="K20" s="205"/>
      <c r="L20" s="205"/>
      <c r="M20" s="205"/>
      <c r="N20" s="194" t="s">
        <v>201</v>
      </c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</row>
    <row r="21" spans="1:29" x14ac:dyDescent="0.2">
      <c r="A21" s="186"/>
      <c r="B21" s="187" t="s">
        <v>145</v>
      </c>
      <c r="C21" s="187"/>
      <c r="D21" s="187"/>
      <c r="E21" s="187"/>
      <c r="F21" s="187"/>
      <c r="G21" s="187"/>
      <c r="H21" s="250"/>
      <c r="J21" s="206"/>
      <c r="K21" s="205"/>
      <c r="L21" s="205"/>
      <c r="M21" s="205"/>
      <c r="N21" s="20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</row>
    <row r="22" spans="1:29" x14ac:dyDescent="0.2">
      <c r="A22" s="186"/>
      <c r="B22" s="187" t="s">
        <v>146</v>
      </c>
      <c r="C22" s="187"/>
      <c r="D22" s="187"/>
      <c r="E22" s="187"/>
      <c r="F22" s="187"/>
      <c r="G22" s="187"/>
      <c r="H22" s="250"/>
      <c r="J22" s="208" t="s">
        <v>147</v>
      </c>
      <c r="K22" s="205"/>
      <c r="L22" s="205"/>
      <c r="M22" s="205"/>
      <c r="N22" s="209">
        <v>198762.44</v>
      </c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</row>
    <row r="23" spans="1:29" x14ac:dyDescent="0.2">
      <c r="A23" s="186"/>
      <c r="B23" s="187" t="s">
        <v>148</v>
      </c>
      <c r="C23" s="187"/>
      <c r="D23" s="187"/>
      <c r="E23" s="187"/>
      <c r="F23" s="187"/>
      <c r="G23" s="187"/>
      <c r="H23" s="250">
        <v>0</v>
      </c>
      <c r="J23" s="210" t="s">
        <v>149</v>
      </c>
      <c r="K23" s="201"/>
      <c r="L23" s="205"/>
      <c r="M23" s="205"/>
      <c r="N23" s="209">
        <v>228156.29</v>
      </c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</row>
    <row r="24" spans="1:29" x14ac:dyDescent="0.2">
      <c r="A24" s="186"/>
      <c r="B24" s="187" t="s">
        <v>150</v>
      </c>
      <c r="C24" s="187"/>
      <c r="D24" s="187"/>
      <c r="E24" s="187"/>
      <c r="F24" s="187"/>
      <c r="G24" s="187"/>
      <c r="H24" s="250"/>
      <c r="J24" s="210" t="s">
        <v>151</v>
      </c>
      <c r="K24" s="201"/>
      <c r="L24" s="205"/>
      <c r="M24" s="205"/>
      <c r="N24" s="211">
        <v>4.846157936688877E-4</v>
      </c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</row>
    <row r="25" spans="1:29" ht="14.25" x14ac:dyDescent="0.2">
      <c r="A25" s="186"/>
      <c r="B25" s="187" t="s">
        <v>152</v>
      </c>
      <c r="C25" s="187"/>
      <c r="D25" s="187"/>
      <c r="E25" s="187"/>
      <c r="F25" s="187"/>
      <c r="G25" s="187"/>
      <c r="H25" s="250">
        <f>-250748.59-249891.19-19051.29-18994.42-32984</f>
        <v>-571669.49</v>
      </c>
      <c r="J25" s="208" t="s">
        <v>153</v>
      </c>
      <c r="K25" s="201"/>
      <c r="L25" s="205"/>
      <c r="M25" s="205"/>
      <c r="N25" s="212">
        <v>5.1854393979701712E-4</v>
      </c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</row>
    <row r="26" spans="1:29" x14ac:dyDescent="0.2">
      <c r="A26" s="186"/>
      <c r="B26" s="187" t="s">
        <v>216</v>
      </c>
      <c r="C26" s="187"/>
      <c r="D26" s="187"/>
      <c r="E26" s="187"/>
      <c r="F26" s="187"/>
      <c r="G26" s="187"/>
      <c r="H26" s="250">
        <v>-340000</v>
      </c>
      <c r="J26" s="210"/>
      <c r="K26" s="201"/>
      <c r="L26" s="205"/>
      <c r="M26" s="205"/>
      <c r="N26" s="209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</row>
    <row r="27" spans="1:29" x14ac:dyDescent="0.2">
      <c r="A27" s="186"/>
      <c r="B27" s="187"/>
      <c r="C27" s="187"/>
      <c r="D27" s="187"/>
      <c r="E27" s="187"/>
      <c r="F27" s="187"/>
      <c r="G27" s="187"/>
      <c r="H27" s="250"/>
      <c r="J27" s="208" t="s">
        <v>154</v>
      </c>
      <c r="K27" s="201"/>
      <c r="L27" s="205"/>
      <c r="M27" s="205"/>
      <c r="N27" s="209">
        <f>47273.51</f>
        <v>47273.51</v>
      </c>
    </row>
    <row r="28" spans="1:29" ht="13.5" thickBot="1" x14ac:dyDescent="0.25">
      <c r="A28" s="186"/>
      <c r="B28" s="187"/>
      <c r="C28" s="67" t="s">
        <v>155</v>
      </c>
      <c r="D28" s="187"/>
      <c r="E28" s="187"/>
      <c r="F28" s="187"/>
      <c r="G28" s="187"/>
      <c r="H28" s="262">
        <f>SUM(H12:H27)</f>
        <v>12894448.759999998</v>
      </c>
      <c r="J28" s="208" t="s">
        <v>156</v>
      </c>
      <c r="K28" s="201"/>
      <c r="L28" s="205"/>
      <c r="M28" s="205"/>
      <c r="N28" s="209" t="s">
        <v>157</v>
      </c>
    </row>
    <row r="29" spans="1:29" ht="15" thickTop="1" x14ac:dyDescent="0.2">
      <c r="A29" s="186"/>
      <c r="B29" s="187"/>
      <c r="C29" s="67"/>
      <c r="D29" s="187"/>
      <c r="E29" s="187"/>
      <c r="F29" s="187"/>
      <c r="G29" s="187"/>
      <c r="H29" s="196"/>
      <c r="J29" s="208" t="s">
        <v>158</v>
      </c>
      <c r="K29" s="201"/>
      <c r="L29" s="205"/>
      <c r="M29" s="205"/>
      <c r="N29" s="213">
        <f>1363820.851+56692.49</f>
        <v>1420513.341</v>
      </c>
    </row>
    <row r="30" spans="1:29" x14ac:dyDescent="0.2">
      <c r="A30" s="39"/>
      <c r="B30" s="181"/>
      <c r="C30" s="214"/>
      <c r="D30" s="181"/>
      <c r="E30" s="181"/>
      <c r="F30" s="181"/>
      <c r="G30" s="181"/>
      <c r="H30" s="182"/>
      <c r="J30" s="215" t="s">
        <v>159</v>
      </c>
      <c r="K30" s="201"/>
      <c r="L30" s="205"/>
      <c r="M30" s="205"/>
      <c r="N30" s="211">
        <f>N29/N23</f>
        <v>6.2260538203877696</v>
      </c>
    </row>
    <row r="31" spans="1:29" ht="13.5" thickBot="1" x14ac:dyDescent="0.25">
      <c r="A31" s="39"/>
      <c r="B31" s="181"/>
      <c r="C31" s="181"/>
      <c r="D31" s="181"/>
      <c r="E31" s="181"/>
      <c r="F31" s="181"/>
      <c r="G31" s="181"/>
      <c r="H31" s="182"/>
      <c r="J31" s="215" t="s">
        <v>160</v>
      </c>
      <c r="K31" s="216"/>
      <c r="L31" s="216"/>
      <c r="M31" s="216"/>
      <c r="N31" s="260">
        <f>(N23-N29)/470798296.26</f>
        <v>-2.5326282199235415E-3</v>
      </c>
    </row>
    <row r="32" spans="1:29" ht="13.5" thickBot="1" x14ac:dyDescent="0.25">
      <c r="A32" s="217"/>
      <c r="B32" s="218"/>
      <c r="C32" s="218"/>
      <c r="D32" s="218"/>
      <c r="E32" s="218"/>
      <c r="F32" s="218"/>
      <c r="G32" s="218"/>
      <c r="H32" s="219"/>
      <c r="J32" s="220" t="s">
        <v>161</v>
      </c>
      <c r="K32" s="221"/>
      <c r="L32" s="221"/>
      <c r="M32" s="221"/>
      <c r="N32" s="222">
        <v>6.5816742002158062E-5</v>
      </c>
    </row>
    <row r="33" spans="1:14" x14ac:dyDescent="0.2">
      <c r="J33" s="223" t="s">
        <v>162</v>
      </c>
      <c r="K33" s="224"/>
      <c r="L33" s="224"/>
      <c r="M33" s="224"/>
      <c r="N33" s="222">
        <v>1.4931842480835406E-4</v>
      </c>
    </row>
    <row r="34" spans="1:14" x14ac:dyDescent="0.2">
      <c r="J34" s="225" t="s">
        <v>163</v>
      </c>
      <c r="K34" s="226"/>
      <c r="L34" s="227"/>
      <c r="M34" s="227"/>
      <c r="N34" s="228"/>
    </row>
    <row r="35" spans="1:14" x14ac:dyDescent="0.2">
      <c r="J35" s="337" t="s">
        <v>164</v>
      </c>
      <c r="K35" s="338"/>
      <c r="L35" s="338"/>
      <c r="M35" s="338"/>
      <c r="N35" s="339"/>
    </row>
    <row r="36" spans="1:14" ht="13.5" thickBot="1" x14ac:dyDescent="0.25">
      <c r="J36" s="340"/>
      <c r="K36" s="341"/>
      <c r="L36" s="341"/>
      <c r="M36" s="341"/>
      <c r="N36" s="342"/>
    </row>
    <row r="37" spans="1:14" ht="13.5" thickBot="1" x14ac:dyDescent="0.25"/>
    <row r="38" spans="1:14" ht="15.75" thickBot="1" x14ac:dyDescent="0.3">
      <c r="A38" s="184" t="s">
        <v>165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229"/>
    </row>
    <row r="39" spans="1:14" ht="15.75" thickBot="1" x14ac:dyDescent="0.3">
      <c r="A39" s="188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</row>
    <row r="40" spans="1:14" ht="6" customHeight="1" x14ac:dyDescent="0.2">
      <c r="A40" s="189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1"/>
    </row>
    <row r="41" spans="1:14" x14ac:dyDescent="0.2">
      <c r="A41" s="193" t="s">
        <v>166</v>
      </c>
      <c r="B41" s="187"/>
      <c r="C41" s="187"/>
      <c r="D41" s="187"/>
      <c r="E41" s="187"/>
      <c r="F41" s="187"/>
      <c r="G41" s="187"/>
      <c r="H41" s="187"/>
      <c r="I41" s="187"/>
      <c r="J41" s="187"/>
      <c r="L41" s="230" t="s">
        <v>167</v>
      </c>
      <c r="M41" s="231"/>
      <c r="N41" s="232" t="s">
        <v>168</v>
      </c>
    </row>
    <row r="42" spans="1:14" ht="6.75" customHeight="1" x14ac:dyDescent="0.2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249"/>
      <c r="M42" s="249"/>
      <c r="N42" s="250"/>
    </row>
    <row r="43" spans="1:14" x14ac:dyDescent="0.2">
      <c r="A43" s="186"/>
      <c r="B43" s="67" t="s">
        <v>155</v>
      </c>
      <c r="C43" s="187"/>
      <c r="D43" s="187"/>
      <c r="E43" s="187"/>
      <c r="F43" s="187"/>
      <c r="G43" s="187"/>
      <c r="H43" s="187"/>
      <c r="I43" s="187"/>
      <c r="J43" s="187"/>
      <c r="K43" s="187"/>
      <c r="L43" s="249"/>
      <c r="M43" s="249"/>
      <c r="N43" s="250">
        <v>12894448.76</v>
      </c>
    </row>
    <row r="44" spans="1:14" x14ac:dyDescent="0.2">
      <c r="A44" s="186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249"/>
      <c r="M44" s="249"/>
      <c r="N44" s="250"/>
    </row>
    <row r="45" spans="1:14" x14ac:dyDescent="0.2">
      <c r="A45" s="186"/>
      <c r="B45" s="67" t="s">
        <v>169</v>
      </c>
      <c r="C45" s="187"/>
      <c r="D45" s="187"/>
      <c r="E45" s="187"/>
      <c r="F45" s="187"/>
      <c r="G45" s="187"/>
      <c r="H45" s="187"/>
      <c r="I45" s="187"/>
      <c r="J45" s="187"/>
      <c r="K45" s="187"/>
      <c r="L45" s="249">
        <v>3000000</v>
      </c>
      <c r="M45" s="249"/>
      <c r="N45" s="250">
        <f>N43-L45</f>
        <v>9894448.7599999998</v>
      </c>
    </row>
    <row r="46" spans="1:14" x14ac:dyDescent="0.2">
      <c r="A46" s="186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249"/>
      <c r="M46" s="249"/>
      <c r="N46" s="250"/>
    </row>
    <row r="47" spans="1:14" x14ac:dyDescent="0.2">
      <c r="A47" s="186"/>
      <c r="B47" s="67" t="s">
        <v>170</v>
      </c>
      <c r="C47" s="187"/>
      <c r="D47" s="187"/>
      <c r="E47" s="187"/>
      <c r="F47" s="187"/>
      <c r="G47" s="187"/>
      <c r="H47" s="187"/>
      <c r="I47" s="187"/>
      <c r="J47" s="187"/>
      <c r="K47" s="187"/>
      <c r="L47" s="249">
        <f>247594.62+18828.94+56486.82+114137.14</f>
        <v>437047.52</v>
      </c>
      <c r="M47" s="249"/>
      <c r="N47" s="250">
        <f>N45-L47</f>
        <v>9457401.2400000002</v>
      </c>
    </row>
    <row r="48" spans="1:14" x14ac:dyDescent="0.2">
      <c r="A48" s="186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249"/>
      <c r="M48" s="249"/>
      <c r="N48" s="250"/>
    </row>
    <row r="49" spans="1:14" x14ac:dyDescent="0.2">
      <c r="A49" s="186"/>
      <c r="B49" s="67" t="s">
        <v>171</v>
      </c>
      <c r="C49" s="187"/>
      <c r="D49" s="187"/>
      <c r="E49" s="187"/>
      <c r="F49" s="187"/>
      <c r="G49" s="187"/>
      <c r="H49" s="187"/>
      <c r="I49" s="187"/>
      <c r="J49" s="187"/>
      <c r="K49" s="187"/>
      <c r="L49" s="249">
        <f>1213634.75+88586.07</f>
        <v>1302220.82</v>
      </c>
      <c r="M49" s="249"/>
      <c r="N49" s="250">
        <f>N47-L49</f>
        <v>8155180.4199999999</v>
      </c>
    </row>
    <row r="50" spans="1:14" x14ac:dyDescent="0.2">
      <c r="A50" s="186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249"/>
      <c r="M50" s="249"/>
      <c r="N50" s="250"/>
    </row>
    <row r="51" spans="1:14" x14ac:dyDescent="0.2">
      <c r="A51" s="186"/>
      <c r="B51" s="67" t="s">
        <v>172</v>
      </c>
      <c r="C51" s="187"/>
      <c r="D51" s="187"/>
      <c r="E51" s="187"/>
      <c r="F51" s="187"/>
      <c r="G51" s="187"/>
      <c r="H51" s="187"/>
      <c r="I51" s="187"/>
      <c r="J51" s="187"/>
      <c r="K51" s="187"/>
      <c r="L51" s="249"/>
      <c r="M51" s="249"/>
      <c r="N51" s="250"/>
    </row>
    <row r="52" spans="1:14" x14ac:dyDescent="0.2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249"/>
      <c r="M52" s="249"/>
      <c r="N52" s="250"/>
    </row>
    <row r="53" spans="1:14" x14ac:dyDescent="0.2">
      <c r="A53" s="186"/>
      <c r="B53" s="67" t="s">
        <v>173</v>
      </c>
      <c r="C53" s="187"/>
      <c r="D53" s="187"/>
      <c r="E53" s="187"/>
      <c r="F53" s="187"/>
      <c r="G53" s="187"/>
      <c r="H53" s="187"/>
      <c r="I53" s="187"/>
      <c r="J53" s="187"/>
      <c r="K53" s="187"/>
      <c r="L53" s="249">
        <f>7673144.81+482035.61</f>
        <v>8155180.4199999999</v>
      </c>
      <c r="M53" s="249"/>
      <c r="N53" s="267">
        <f>N49-L53</f>
        <v>0</v>
      </c>
    </row>
    <row r="54" spans="1:14" x14ac:dyDescent="0.2">
      <c r="A54" s="186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249"/>
      <c r="M54" s="249"/>
      <c r="N54" s="250"/>
    </row>
    <row r="55" spans="1:14" x14ac:dyDescent="0.2">
      <c r="A55" s="186"/>
      <c r="B55" s="67" t="s">
        <v>174</v>
      </c>
      <c r="C55" s="187"/>
      <c r="D55" s="187"/>
      <c r="E55" s="187"/>
      <c r="F55" s="187"/>
      <c r="G55" s="187"/>
      <c r="H55" s="187"/>
      <c r="I55" s="187"/>
      <c r="J55" s="187"/>
      <c r="K55" s="187"/>
      <c r="L55" s="249"/>
      <c r="M55" s="249"/>
      <c r="N55" s="250"/>
    </row>
    <row r="56" spans="1:14" x14ac:dyDescent="0.2">
      <c r="A56" s="186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249"/>
      <c r="M56" s="249"/>
      <c r="N56" s="250"/>
    </row>
    <row r="57" spans="1:14" x14ac:dyDescent="0.2">
      <c r="A57" s="186"/>
      <c r="B57" s="67" t="s">
        <v>175</v>
      </c>
      <c r="C57" s="187"/>
      <c r="D57" s="187"/>
      <c r="E57" s="187"/>
      <c r="F57" s="187"/>
      <c r="G57" s="187"/>
      <c r="H57" s="187"/>
      <c r="I57" s="187"/>
      <c r="J57" s="187"/>
      <c r="K57" s="187"/>
      <c r="L57" s="249"/>
      <c r="M57" s="249"/>
      <c r="N57" s="250"/>
    </row>
    <row r="58" spans="1:14" x14ac:dyDescent="0.2">
      <c r="A58" s="186"/>
      <c r="B58" s="67"/>
      <c r="C58" s="187"/>
      <c r="D58" s="187"/>
      <c r="E58" s="187"/>
      <c r="F58" s="187"/>
      <c r="G58" s="187"/>
      <c r="H58" s="187"/>
      <c r="I58" s="187"/>
      <c r="J58" s="187"/>
      <c r="K58" s="187"/>
      <c r="L58" s="249"/>
      <c r="M58" s="249"/>
      <c r="N58" s="250"/>
    </row>
    <row r="59" spans="1:14" s="180" customFormat="1" ht="11.25" customHeight="1" x14ac:dyDescent="0.2">
      <c r="A59" s="39"/>
      <c r="B59" s="181"/>
      <c r="C59" s="214"/>
      <c r="D59" s="181"/>
      <c r="E59" s="181"/>
      <c r="F59" s="181"/>
      <c r="G59" s="181"/>
      <c r="H59" s="181"/>
      <c r="I59" s="181"/>
      <c r="J59" s="181"/>
      <c r="L59" s="251"/>
      <c r="M59" s="251"/>
      <c r="N59" s="250"/>
    </row>
    <row r="60" spans="1:14" s="180" customFormat="1" ht="11.25" customHeight="1" x14ac:dyDescent="0.2">
      <c r="A60" s="39"/>
      <c r="B60" s="181"/>
      <c r="C60" s="181"/>
      <c r="D60" s="181"/>
      <c r="E60" s="181"/>
      <c r="F60" s="181"/>
      <c r="G60" s="181"/>
      <c r="H60" s="181"/>
      <c r="I60" s="181"/>
      <c r="J60" s="181"/>
      <c r="L60" s="251"/>
      <c r="M60" s="251"/>
      <c r="N60" s="250"/>
    </row>
    <row r="61" spans="1:14" ht="6" customHeight="1" thickBot="1" x14ac:dyDescent="0.25">
      <c r="A61" s="197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252"/>
      <c r="M61" s="252"/>
      <c r="N61" s="253"/>
    </row>
    <row r="62" spans="1:14" ht="13.5" thickBot="1" x14ac:dyDescent="0.25">
      <c r="L62" s="254"/>
      <c r="M62" s="254"/>
      <c r="N62" s="254"/>
    </row>
    <row r="63" spans="1:14" x14ac:dyDescent="0.2">
      <c r="A63" s="192" t="s">
        <v>176</v>
      </c>
      <c r="B63" s="190"/>
      <c r="C63" s="190"/>
      <c r="D63" s="190"/>
      <c r="E63" s="190"/>
      <c r="F63" s="190"/>
      <c r="G63" s="256" t="s">
        <v>206</v>
      </c>
      <c r="H63" s="257" t="s">
        <v>207</v>
      </c>
      <c r="L63" s="254"/>
      <c r="M63" s="254"/>
      <c r="N63" s="254"/>
    </row>
    <row r="64" spans="1:14" x14ac:dyDescent="0.2">
      <c r="A64" s="186"/>
      <c r="B64" s="187"/>
      <c r="C64" s="187"/>
      <c r="D64" s="187"/>
      <c r="E64" s="187"/>
      <c r="F64" s="187"/>
      <c r="G64" s="233"/>
      <c r="H64" s="196"/>
      <c r="L64" s="254"/>
      <c r="M64" s="254"/>
      <c r="N64" s="254"/>
    </row>
    <row r="65" spans="1:14" x14ac:dyDescent="0.2">
      <c r="A65" s="186"/>
      <c r="B65" s="187" t="s">
        <v>202</v>
      </c>
      <c r="C65" s="187"/>
      <c r="D65" s="187"/>
      <c r="E65" s="187"/>
      <c r="F65" s="187"/>
      <c r="G65" s="258">
        <v>1213634.75</v>
      </c>
      <c r="H65" s="250">
        <v>88586.07</v>
      </c>
      <c r="L65" s="254"/>
      <c r="M65" s="254"/>
      <c r="N65" s="254"/>
    </row>
    <row r="66" spans="1:14" x14ac:dyDescent="0.2">
      <c r="A66" s="186"/>
      <c r="B66" s="187" t="s">
        <v>203</v>
      </c>
      <c r="C66" s="187"/>
      <c r="D66" s="187"/>
      <c r="E66" s="187"/>
      <c r="F66" s="187"/>
      <c r="G66" s="255">
        <v>1213634.75</v>
      </c>
      <c r="H66" s="250">
        <v>88586.07</v>
      </c>
      <c r="L66" s="254"/>
      <c r="M66" s="254"/>
      <c r="N66" s="254"/>
    </row>
    <row r="67" spans="1:14" x14ac:dyDescent="0.2">
      <c r="A67" s="186"/>
      <c r="B67" s="187"/>
      <c r="C67" s="187" t="s">
        <v>177</v>
      </c>
      <c r="D67" s="187"/>
      <c r="E67" s="187"/>
      <c r="F67" s="187"/>
      <c r="G67" s="255">
        <f>G65-G66</f>
        <v>0</v>
      </c>
      <c r="H67" s="259">
        <f>H65-H66</f>
        <v>0</v>
      </c>
      <c r="L67" s="254"/>
      <c r="M67" s="254"/>
      <c r="N67" s="254"/>
    </row>
    <row r="68" spans="1:14" x14ac:dyDescent="0.2">
      <c r="A68" s="186"/>
      <c r="B68" s="187"/>
      <c r="C68" s="187"/>
      <c r="D68" s="187"/>
      <c r="E68" s="187"/>
      <c r="F68" s="187"/>
      <c r="G68" s="233"/>
      <c r="H68" s="196"/>
      <c r="L68" s="254"/>
      <c r="M68" s="254"/>
      <c r="N68" s="254"/>
    </row>
    <row r="69" spans="1:14" x14ac:dyDescent="0.2">
      <c r="A69" s="186"/>
      <c r="B69" s="187" t="s">
        <v>178</v>
      </c>
      <c r="C69" s="187"/>
      <c r="D69" s="187"/>
      <c r="E69" s="187"/>
      <c r="F69" s="187"/>
      <c r="G69" s="233"/>
      <c r="H69" s="196"/>
      <c r="L69" s="254"/>
      <c r="M69" s="254"/>
      <c r="N69" s="254"/>
    </row>
    <row r="70" spans="1:14" x14ac:dyDescent="0.2">
      <c r="A70" s="186"/>
      <c r="B70" s="187" t="s">
        <v>179</v>
      </c>
      <c r="C70" s="187"/>
      <c r="D70" s="187"/>
      <c r="E70" s="187"/>
      <c r="F70" s="187"/>
      <c r="G70" s="233"/>
      <c r="H70" s="196"/>
    </row>
    <row r="71" spans="1:14" x14ac:dyDescent="0.2">
      <c r="A71" s="186"/>
      <c r="B71" s="187"/>
      <c r="C71" s="187" t="s">
        <v>180</v>
      </c>
      <c r="D71" s="187"/>
      <c r="E71" s="187"/>
      <c r="F71" s="187"/>
      <c r="G71" s="233"/>
      <c r="H71" s="196"/>
    </row>
    <row r="72" spans="1:14" x14ac:dyDescent="0.2">
      <c r="A72" s="186"/>
      <c r="B72" s="187"/>
      <c r="C72" s="187"/>
      <c r="D72" s="187"/>
      <c r="E72" s="187"/>
      <c r="F72" s="187"/>
      <c r="G72" s="233"/>
      <c r="H72" s="196"/>
    </row>
    <row r="73" spans="1:14" x14ac:dyDescent="0.2">
      <c r="A73" s="186"/>
      <c r="B73" s="187" t="s">
        <v>204</v>
      </c>
      <c r="C73" s="187"/>
      <c r="D73" s="187"/>
      <c r="E73" s="187"/>
      <c r="F73" s="187"/>
      <c r="G73" s="258">
        <v>8155180.4199999999</v>
      </c>
      <c r="H73" s="196"/>
    </row>
    <row r="74" spans="1:14" x14ac:dyDescent="0.2">
      <c r="A74" s="186"/>
      <c r="B74" s="187" t="s">
        <v>205</v>
      </c>
      <c r="C74" s="187"/>
      <c r="D74" s="187"/>
      <c r="E74" s="187"/>
      <c r="F74" s="187"/>
      <c r="G74" s="255">
        <f>L53</f>
        <v>8155180.4199999999</v>
      </c>
      <c r="H74" s="196"/>
    </row>
    <row r="75" spans="1:14" x14ac:dyDescent="0.2">
      <c r="A75" s="186"/>
      <c r="B75" s="187"/>
      <c r="C75" s="187" t="s">
        <v>181</v>
      </c>
      <c r="D75" s="187"/>
      <c r="E75" s="187"/>
      <c r="F75" s="187"/>
      <c r="G75" s="255">
        <f>G73-G74</f>
        <v>0</v>
      </c>
      <c r="H75" s="196"/>
    </row>
    <row r="76" spans="1:14" x14ac:dyDescent="0.2">
      <c r="A76" s="186"/>
      <c r="B76" s="187"/>
      <c r="C76" s="187"/>
      <c r="D76" s="187"/>
      <c r="E76" s="187"/>
      <c r="F76" s="187"/>
      <c r="G76" s="233"/>
      <c r="H76" s="196"/>
    </row>
    <row r="77" spans="1:14" x14ac:dyDescent="0.2">
      <c r="A77" s="186"/>
      <c r="B77" s="187"/>
      <c r="C77" s="67" t="s">
        <v>182</v>
      </c>
      <c r="D77" s="187"/>
      <c r="E77" s="187"/>
      <c r="F77" s="187"/>
      <c r="G77" s="255">
        <f>G66+G74</f>
        <v>9368815.1699999999</v>
      </c>
      <c r="H77" s="259">
        <f>H66</f>
        <v>88586.07</v>
      </c>
    </row>
    <row r="78" spans="1:14" x14ac:dyDescent="0.2">
      <c r="A78" s="186"/>
      <c r="B78" s="187"/>
      <c r="C78" s="187"/>
      <c r="D78" s="187"/>
      <c r="E78" s="187"/>
      <c r="F78" s="187"/>
      <c r="G78" s="233"/>
      <c r="H78" s="196"/>
    </row>
    <row r="79" spans="1:14" ht="13.5" thickBot="1" x14ac:dyDescent="0.25">
      <c r="A79" s="197"/>
      <c r="B79" s="199"/>
      <c r="C79" s="199"/>
      <c r="D79" s="199"/>
      <c r="E79" s="199"/>
      <c r="F79" s="199"/>
      <c r="G79" s="234"/>
      <c r="H79" s="200"/>
    </row>
  </sheetData>
  <mergeCells count="6">
    <mergeCell ref="J35:N36"/>
    <mergeCell ref="L2:M4"/>
    <mergeCell ref="B4:D4"/>
    <mergeCell ref="E4:G4"/>
    <mergeCell ref="B5:D5"/>
    <mergeCell ref="E5:G5"/>
  </mergeCells>
  <pageMargins left="0.28000000000000003" right="0.24" top="0.35" bottom="0.31" header="0.5" footer="0.33"/>
  <pageSetup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7" tint="-0.249977111117893"/>
  </sheetPr>
  <dimension ref="A1:D50"/>
  <sheetViews>
    <sheetView showGridLines="0" workbookViewId="0">
      <selection activeCell="C5" sqref="C5"/>
    </sheetView>
  </sheetViews>
  <sheetFormatPr defaultRowHeight="12.75" x14ac:dyDescent="0.2"/>
  <cols>
    <col min="1" max="1" width="67.42578125" customWidth="1"/>
    <col min="2" max="2" width="18.7109375" customWidth="1"/>
    <col min="4" max="4" width="14" bestFit="1" customWidth="1"/>
  </cols>
  <sheetData>
    <row r="1" spans="1:2" x14ac:dyDescent="0.2">
      <c r="A1" s="235" t="s">
        <v>215</v>
      </c>
      <c r="B1" s="236"/>
    </row>
    <row r="2" spans="1:2" x14ac:dyDescent="0.2">
      <c r="A2" s="235" t="s">
        <v>183</v>
      </c>
      <c r="B2" s="236"/>
    </row>
    <row r="3" spans="1:2" x14ac:dyDescent="0.2">
      <c r="A3" s="237">
        <v>41274</v>
      </c>
      <c r="B3" s="236"/>
    </row>
    <row r="4" spans="1:2" x14ac:dyDescent="0.2">
      <c r="A4" s="235" t="s">
        <v>228</v>
      </c>
      <c r="B4" s="236"/>
    </row>
    <row r="7" spans="1:2" x14ac:dyDescent="0.2">
      <c r="A7" s="238" t="s">
        <v>184</v>
      </c>
    </row>
    <row r="9" spans="1:2" x14ac:dyDescent="0.2">
      <c r="A9" s="239" t="s">
        <v>185</v>
      </c>
      <c r="B9" s="240">
        <f>17593291.95+1177745</f>
        <v>18771036.949999999</v>
      </c>
    </row>
    <row r="10" spans="1:2" x14ac:dyDescent="0.2">
      <c r="A10" s="239" t="s">
        <v>186</v>
      </c>
      <c r="B10" s="241"/>
    </row>
    <row r="11" spans="1:2" x14ac:dyDescent="0.2">
      <c r="A11" s="239" t="s">
        <v>187</v>
      </c>
      <c r="B11" s="242"/>
    </row>
    <row r="12" spans="1:2" x14ac:dyDescent="0.2">
      <c r="A12" s="239" t="s">
        <v>222</v>
      </c>
      <c r="B12" s="242">
        <v>452194562.94</v>
      </c>
    </row>
    <row r="13" spans="1:2" x14ac:dyDescent="0.2">
      <c r="A13" s="239" t="s">
        <v>224</v>
      </c>
      <c r="B13" s="242">
        <v>-16800055.579999998</v>
      </c>
    </row>
    <row r="14" spans="1:2" x14ac:dyDescent="0.2">
      <c r="A14" s="239" t="s">
        <v>223</v>
      </c>
      <c r="B14" s="285">
        <f>B12+B13</f>
        <v>435394507.36000001</v>
      </c>
    </row>
    <row r="15" spans="1:2" x14ac:dyDescent="0.2">
      <c r="A15" s="239"/>
      <c r="B15" s="242"/>
    </row>
    <row r="16" spans="1:2" x14ac:dyDescent="0.2">
      <c r="A16" s="239" t="s">
        <v>188</v>
      </c>
      <c r="B16" s="242">
        <v>8847898.1400000006</v>
      </c>
    </row>
    <row r="17" spans="1:4" x14ac:dyDescent="0.2">
      <c r="A17" s="239" t="s">
        <v>189</v>
      </c>
      <c r="B17" s="242">
        <f>191008.24+388064.59+168.48</f>
        <v>579241.31000000006</v>
      </c>
    </row>
    <row r="18" spans="1:4" x14ac:dyDescent="0.2">
      <c r="A18" s="239" t="s">
        <v>190</v>
      </c>
      <c r="B18" s="242">
        <v>2548126.0099999998</v>
      </c>
    </row>
    <row r="19" spans="1:4" x14ac:dyDescent="0.2">
      <c r="A19" s="239" t="s">
        <v>191</v>
      </c>
      <c r="B19" s="242"/>
    </row>
    <row r="20" spans="1:4" x14ac:dyDescent="0.2">
      <c r="B20" s="243"/>
    </row>
    <row r="21" spans="1:4" ht="13.5" thickBot="1" x14ac:dyDescent="0.25">
      <c r="A21" s="239" t="s">
        <v>71</v>
      </c>
      <c r="B21" s="244">
        <f>B9+B14+B16+B17+B18</f>
        <v>466140809.76999998</v>
      </c>
      <c r="D21" s="245"/>
    </row>
    <row r="22" spans="1:4" ht="13.5" thickTop="1" x14ac:dyDescent="0.2">
      <c r="B22" s="241"/>
      <c r="D22" s="245"/>
    </row>
    <row r="23" spans="1:4" x14ac:dyDescent="0.2">
      <c r="B23" s="241"/>
      <c r="D23" s="245"/>
    </row>
    <row r="24" spans="1:4" x14ac:dyDescent="0.2">
      <c r="A24" s="238" t="s">
        <v>225</v>
      </c>
      <c r="B24" s="241"/>
      <c r="D24" s="246"/>
    </row>
    <row r="25" spans="1:4" x14ac:dyDescent="0.2">
      <c r="B25" s="241"/>
    </row>
    <row r="26" spans="1:4" x14ac:dyDescent="0.2">
      <c r="A26" s="239" t="s">
        <v>192</v>
      </c>
      <c r="B26" s="240"/>
    </row>
    <row r="27" spans="1:4" x14ac:dyDescent="0.2">
      <c r="A27" s="239" t="s">
        <v>193</v>
      </c>
      <c r="B27" s="242">
        <f>462000000+9200000</f>
        <v>471200000</v>
      </c>
    </row>
    <row r="28" spans="1:4" x14ac:dyDescent="0.2">
      <c r="A28" s="239" t="s">
        <v>194</v>
      </c>
      <c r="B28" s="242">
        <v>958777.97</v>
      </c>
    </row>
    <row r="29" spans="1:4" x14ac:dyDescent="0.2">
      <c r="A29" s="239" t="s">
        <v>195</v>
      </c>
      <c r="B29" s="242">
        <f>3723028.42-958777.97</f>
        <v>2764250.45</v>
      </c>
    </row>
    <row r="30" spans="1:4" x14ac:dyDescent="0.2">
      <c r="A30" s="239" t="s">
        <v>196</v>
      </c>
      <c r="B30" s="242"/>
    </row>
    <row r="31" spans="1:4" x14ac:dyDescent="0.2">
      <c r="A31" s="239" t="s">
        <v>197</v>
      </c>
      <c r="B31" s="242"/>
    </row>
    <row r="32" spans="1:4" x14ac:dyDescent="0.2">
      <c r="B32" s="243"/>
    </row>
    <row r="33" spans="1:2" ht="13.5" thickBot="1" x14ac:dyDescent="0.25">
      <c r="A33" s="239" t="s">
        <v>198</v>
      </c>
      <c r="B33" s="244">
        <f>SUM(B26:B32)</f>
        <v>474923028.42000002</v>
      </c>
    </row>
    <row r="34" spans="1:2" ht="13.5" thickTop="1" x14ac:dyDescent="0.2">
      <c r="B34" s="247"/>
    </row>
    <row r="35" spans="1:2" x14ac:dyDescent="0.2">
      <c r="A35" s="238" t="s">
        <v>199</v>
      </c>
      <c r="B35" s="248">
        <v>-8782218.6500000004</v>
      </c>
    </row>
    <row r="36" spans="1:2" x14ac:dyDescent="0.2">
      <c r="B36" s="241"/>
    </row>
    <row r="37" spans="1:2" ht="13.5" thickBot="1" x14ac:dyDescent="0.25">
      <c r="A37" s="238" t="s">
        <v>200</v>
      </c>
      <c r="B37" s="244">
        <f>B33+B35</f>
        <v>466140809.77000004</v>
      </c>
    </row>
    <row r="38" spans="1:2" ht="13.5" thickTop="1" x14ac:dyDescent="0.2">
      <c r="B38" s="241"/>
    </row>
    <row r="39" spans="1:2" x14ac:dyDescent="0.2">
      <c r="B39" s="241">
        <f>+B21-B37</f>
        <v>0</v>
      </c>
    </row>
    <row r="40" spans="1:2" x14ac:dyDescent="0.2">
      <c r="B40" s="241"/>
    </row>
    <row r="41" spans="1:2" x14ac:dyDescent="0.2">
      <c r="A41" t="s">
        <v>227</v>
      </c>
      <c r="B41" s="241"/>
    </row>
    <row r="42" spans="1:2" x14ac:dyDescent="0.2">
      <c r="A42" t="s">
        <v>226</v>
      </c>
      <c r="B42" s="241"/>
    </row>
    <row r="43" spans="1:2" x14ac:dyDescent="0.2">
      <c r="B43" s="241"/>
    </row>
    <row r="44" spans="1:2" x14ac:dyDescent="0.2">
      <c r="B44" s="241"/>
    </row>
    <row r="45" spans="1:2" x14ac:dyDescent="0.2">
      <c r="B45" s="241"/>
    </row>
    <row r="46" spans="1:2" x14ac:dyDescent="0.2">
      <c r="B46" s="241"/>
    </row>
    <row r="47" spans="1:2" x14ac:dyDescent="0.2">
      <c r="B47" s="241"/>
    </row>
    <row r="48" spans="1:2" x14ac:dyDescent="0.2">
      <c r="B48" s="241"/>
    </row>
    <row r="49" spans="2:2" x14ac:dyDescent="0.2">
      <c r="B49" s="241"/>
    </row>
    <row r="50" spans="2:2" x14ac:dyDescent="0.2">
      <c r="B50" s="241"/>
    </row>
  </sheetData>
  <pageMargins left="0.25" right="0.25" top="0.75" bottom="0.75" header="0.3" footer="0.3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ESA_FFELP(3)</vt:lpstr>
      <vt:lpstr>ESA_Collection and Waterfal(3)</vt:lpstr>
      <vt:lpstr>ESA_Balance Sheet(3)</vt:lpstr>
      <vt:lpstr>'ESA_FFELP(3)'!Print_Area</vt:lpstr>
    </vt:vector>
  </TitlesOfParts>
  <Company>Edfinancial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Stacie Burchfield</dc:creator>
  <cp:lastModifiedBy>Sherri Ballard</cp:lastModifiedBy>
  <cp:lastPrinted>2013-01-24T16:58:50Z</cp:lastPrinted>
  <dcterms:created xsi:type="dcterms:W3CDTF">2013-01-09T00:59:54Z</dcterms:created>
  <dcterms:modified xsi:type="dcterms:W3CDTF">2013-02-22T21:38:07Z</dcterms:modified>
</cp:coreProperties>
</file>